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ilestore.soton.ac.uk\users\agsa1m17\mydesktop\PhD Study 270919\Tests\AA7075-T651\Microstructure\Hardness\"/>
    </mc:Choice>
  </mc:AlternateContent>
  <bookViews>
    <workbookView xWindow="0" yWindow="0" windowWidth="21570" windowHeight="8055" firstSheet="2" activeTab="3"/>
  </bookViews>
  <sheets>
    <sheet name="First experiment" sheetId="1" r:id="rId1"/>
    <sheet name="Hardness EDMC" sheetId="2" r:id="rId2"/>
    <sheet name="7150 trial for nano" sheetId="3" r:id="rId3"/>
    <sheet name="new base1200Sic" sheetId="6" r:id="rId4"/>
    <sheet name="new base1 um" sheetId="7" r:id="rId5"/>
    <sheet name="ab lsp" sheetId="4" r:id="rId6"/>
    <sheet name="nAb LSP" sheetId="5" r:id="rId7"/>
    <sheet name="fbp-lt11 Ab" sheetId="10" r:id="rId8"/>
    <sheet name="fbp-lt25 nAb" sheetId="9" r:id="rId9"/>
    <sheet name="nab 1um" sheetId="11" r:id="rId10"/>
    <sheet name="ab 1um" sheetId="12" r:id="rId11"/>
    <sheet name="Summary" sheetId="8" r:id="rId12"/>
  </sheets>
  <definedNames>
    <definedName name="_xlchart.v1.0" hidden="1">'ab lsp'!$F$4:$F$13</definedName>
    <definedName name="_xlchart.v1.1" hidden="1">'fbp-lt11 Ab'!$F$4:$F$11</definedName>
    <definedName name="_xlchart.v1.2" hidden="1">'fbp-lt25 nAb'!$F$4:$F$11</definedName>
    <definedName name="_xlchart.v1.3" hidden="1">'nAb LSP'!$F$4:$F$14</definedName>
    <definedName name="_xlchart.v1.4" hidden="1">'new base1200Sic'!$F$4:$F$14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6" l="1"/>
  <c r="P23" i="6"/>
  <c r="F15" i="4"/>
  <c r="F15" i="6"/>
  <c r="C14" i="12" l="1"/>
  <c r="C13" i="12"/>
  <c r="C14" i="11"/>
  <c r="C13" i="11" l="1"/>
  <c r="F8" i="9" l="1"/>
  <c r="N34" i="9" l="1"/>
  <c r="D34" i="9"/>
  <c r="M34" i="9" s="1"/>
  <c r="N33" i="9"/>
  <c r="D33" i="9"/>
  <c r="F33" i="9" s="1"/>
  <c r="N32" i="9"/>
  <c r="D32" i="9"/>
  <c r="M32" i="9" s="1"/>
  <c r="N31" i="9"/>
  <c r="D31" i="9"/>
  <c r="F31" i="9" s="1"/>
  <c r="N30" i="9"/>
  <c r="D30" i="9"/>
  <c r="M30" i="9" s="1"/>
  <c r="O30" i="9" s="1"/>
  <c r="P30" i="9" s="1"/>
  <c r="Q30" i="9" s="1"/>
  <c r="N29" i="9"/>
  <c r="D29" i="9"/>
  <c r="M29" i="9" s="1"/>
  <c r="N28" i="9"/>
  <c r="D28" i="9"/>
  <c r="F28" i="9" s="1"/>
  <c r="N27" i="9"/>
  <c r="D27" i="9"/>
  <c r="M27" i="9" s="1"/>
  <c r="O27" i="9" s="1"/>
  <c r="P27" i="9" s="1"/>
  <c r="Q27" i="9" s="1"/>
  <c r="N26" i="9"/>
  <c r="D26" i="9"/>
  <c r="M26" i="9" s="1"/>
  <c r="N25" i="9"/>
  <c r="D25" i="9"/>
  <c r="F25" i="9" s="1"/>
  <c r="N24" i="9"/>
  <c r="D24" i="9"/>
  <c r="M24" i="9" s="1"/>
  <c r="N23" i="9"/>
  <c r="D23" i="9"/>
  <c r="M23" i="9" s="1"/>
  <c r="N22" i="9"/>
  <c r="D22" i="9"/>
  <c r="F22" i="9" s="1"/>
  <c r="N21" i="9"/>
  <c r="D21" i="9"/>
  <c r="M21" i="9" s="1"/>
  <c r="N20" i="9"/>
  <c r="D20" i="9"/>
  <c r="F20" i="9" s="1"/>
  <c r="N19" i="9"/>
  <c r="D19" i="9"/>
  <c r="M19" i="9" s="1"/>
  <c r="O19" i="9" s="1"/>
  <c r="P19" i="9" s="1"/>
  <c r="Q19" i="9" s="1"/>
  <c r="N18" i="9"/>
  <c r="D18" i="9"/>
  <c r="M18" i="9" s="1"/>
  <c r="N17" i="9"/>
  <c r="D17" i="9"/>
  <c r="F17" i="9" s="1"/>
  <c r="M20" i="10"/>
  <c r="O20" i="10" s="1"/>
  <c r="P20" i="10" s="1"/>
  <c r="Q20" i="10" s="1"/>
  <c r="N20" i="10"/>
  <c r="M21" i="10"/>
  <c r="N21" i="10"/>
  <c r="O21" i="10"/>
  <c r="P21" i="10"/>
  <c r="Q21" i="10" s="1"/>
  <c r="M22" i="10"/>
  <c r="N22" i="10"/>
  <c r="O22" i="10" s="1"/>
  <c r="P22" i="10" s="1"/>
  <c r="Q22" i="10" s="1"/>
  <c r="M23" i="10"/>
  <c r="N23" i="10"/>
  <c r="O23" i="10" s="1"/>
  <c r="P23" i="10" s="1"/>
  <c r="Q23" i="10" s="1"/>
  <c r="M24" i="10"/>
  <c r="N24" i="10"/>
  <c r="O24" i="10"/>
  <c r="P24" i="10"/>
  <c r="Q24" i="10"/>
  <c r="M25" i="10"/>
  <c r="N25" i="10"/>
  <c r="O25" i="10" s="1"/>
  <c r="P25" i="10" s="1"/>
  <c r="Q25" i="10" s="1"/>
  <c r="M26" i="10"/>
  <c r="N26" i="10"/>
  <c r="O26" i="10"/>
  <c r="P26" i="10" s="1"/>
  <c r="Q26" i="10" s="1"/>
  <c r="M27" i="10"/>
  <c r="N27" i="10"/>
  <c r="O27" i="10"/>
  <c r="P27" i="10"/>
  <c r="Q27" i="10"/>
  <c r="M28" i="10"/>
  <c r="O28" i="10" s="1"/>
  <c r="P28" i="10" s="1"/>
  <c r="Q28" i="10" s="1"/>
  <c r="N28" i="10"/>
  <c r="M29" i="10"/>
  <c r="N29" i="10"/>
  <c r="O29" i="10"/>
  <c r="P29" i="10"/>
  <c r="Q29" i="10" s="1"/>
  <c r="M30" i="10"/>
  <c r="O30" i="10" s="1"/>
  <c r="P30" i="10" s="1"/>
  <c r="Q30" i="10" s="1"/>
  <c r="N30" i="10"/>
  <c r="M31" i="10"/>
  <c r="N31" i="10"/>
  <c r="O31" i="10" s="1"/>
  <c r="P31" i="10" s="1"/>
  <c r="Q31" i="10" s="1"/>
  <c r="M32" i="10"/>
  <c r="N32" i="10"/>
  <c r="O32" i="10"/>
  <c r="P32" i="10"/>
  <c r="Q32" i="10"/>
  <c r="M33" i="10"/>
  <c r="N33" i="10"/>
  <c r="O33" i="10" s="1"/>
  <c r="P33" i="10" s="1"/>
  <c r="Q33" i="10" s="1"/>
  <c r="M34" i="10"/>
  <c r="N34" i="10"/>
  <c r="O34" i="10"/>
  <c r="P34" i="10" s="1"/>
  <c r="Q34" i="10" s="1"/>
  <c r="M35" i="10"/>
  <c r="N35" i="10"/>
  <c r="O35" i="10"/>
  <c r="P35" i="10"/>
  <c r="Q35" i="10"/>
  <c r="M36" i="10"/>
  <c r="O36" i="10" s="1"/>
  <c r="P36" i="10" s="1"/>
  <c r="Q36" i="10" s="1"/>
  <c r="N36" i="10"/>
  <c r="M37" i="10"/>
  <c r="N37" i="10"/>
  <c r="O37" i="10"/>
  <c r="P37" i="10"/>
  <c r="Q37" i="10" s="1"/>
  <c r="M38" i="10"/>
  <c r="O38" i="10" s="1"/>
  <c r="P38" i="10" s="1"/>
  <c r="Q38" i="10" s="1"/>
  <c r="N38" i="10"/>
  <c r="M39" i="10"/>
  <c r="N39" i="10"/>
  <c r="O39" i="10" s="1"/>
  <c r="P39" i="10" s="1"/>
  <c r="Q39" i="10" s="1"/>
  <c r="M40" i="10"/>
  <c r="N40" i="10"/>
  <c r="O40" i="10"/>
  <c r="P40" i="10"/>
  <c r="Q40" i="10"/>
  <c r="M41" i="10"/>
  <c r="N41" i="10"/>
  <c r="O41" i="10" s="1"/>
  <c r="P41" i="10" s="1"/>
  <c r="Q41" i="10" s="1"/>
  <c r="M42" i="10"/>
  <c r="N42" i="10"/>
  <c r="O42" i="10"/>
  <c r="P42" i="10" s="1"/>
  <c r="Q42" i="10" s="1"/>
  <c r="M43" i="10"/>
  <c r="N43" i="10"/>
  <c r="O43" i="10"/>
  <c r="P43" i="10"/>
  <c r="Q43" i="10"/>
  <c r="M44" i="10"/>
  <c r="O44" i="10" s="1"/>
  <c r="P44" i="10" s="1"/>
  <c r="Q44" i="10" s="1"/>
  <c r="N44" i="10"/>
  <c r="M45" i="10"/>
  <c r="N45" i="10"/>
  <c r="O45" i="10"/>
  <c r="P45" i="10"/>
  <c r="Q45" i="10" s="1"/>
  <c r="M46" i="10"/>
  <c r="O46" i="10" s="1"/>
  <c r="P46" i="10" s="1"/>
  <c r="Q46" i="10" s="1"/>
  <c r="N46" i="10"/>
  <c r="M47" i="10"/>
  <c r="N47" i="10"/>
  <c r="O47" i="10" s="1"/>
  <c r="P47" i="10" s="1"/>
  <c r="Q47" i="10" s="1"/>
  <c r="M48" i="10"/>
  <c r="N48" i="10"/>
  <c r="O48" i="10"/>
  <c r="P48" i="10"/>
  <c r="Q48" i="10"/>
  <c r="M49" i="10"/>
  <c r="N49" i="10"/>
  <c r="O49" i="10" s="1"/>
  <c r="P49" i="10" s="1"/>
  <c r="Q49" i="10" s="1"/>
  <c r="M50" i="10"/>
  <c r="N50" i="10"/>
  <c r="O50" i="10"/>
  <c r="P50" i="10" s="1"/>
  <c r="Q50" i="10" s="1"/>
  <c r="M51" i="10"/>
  <c r="N51" i="10"/>
  <c r="O51" i="10"/>
  <c r="P51" i="10"/>
  <c r="Q51" i="10"/>
  <c r="M52" i="10"/>
  <c r="O52" i="10" s="1"/>
  <c r="P52" i="10" s="1"/>
  <c r="Q52" i="10" s="1"/>
  <c r="N52" i="10"/>
  <c r="M53" i="10"/>
  <c r="N53" i="10"/>
  <c r="O53" i="10"/>
  <c r="P53" i="10"/>
  <c r="Q53" i="10" s="1"/>
  <c r="M54" i="10"/>
  <c r="O54" i="10" s="1"/>
  <c r="P54" i="10" s="1"/>
  <c r="Q54" i="10" s="1"/>
  <c r="N54" i="10"/>
  <c r="M55" i="10"/>
  <c r="N55" i="10"/>
  <c r="O55" i="10" s="1"/>
  <c r="P55" i="10" s="1"/>
  <c r="Q55" i="10" s="1"/>
  <c r="F21" i="10"/>
  <c r="F24" i="10"/>
  <c r="D21" i="10"/>
  <c r="D22" i="10"/>
  <c r="F22" i="10" s="1"/>
  <c r="D23" i="10"/>
  <c r="F23" i="10" s="1"/>
  <c r="D24" i="10"/>
  <c r="D25" i="10"/>
  <c r="F25" i="10" s="1"/>
  <c r="D26" i="10"/>
  <c r="F26" i="10" s="1"/>
  <c r="D27" i="10"/>
  <c r="F27" i="10" s="1"/>
  <c r="D28" i="10"/>
  <c r="F28" i="10" s="1"/>
  <c r="D29" i="10"/>
  <c r="F29" i="10" s="1"/>
  <c r="D30" i="10"/>
  <c r="F30" i="10" s="1"/>
  <c r="D31" i="10"/>
  <c r="F31" i="10" s="1"/>
  <c r="D32" i="10"/>
  <c r="F32" i="10" s="1"/>
  <c r="D33" i="10"/>
  <c r="F33" i="10" s="1"/>
  <c r="D34" i="10"/>
  <c r="F34" i="10" s="1"/>
  <c r="D35" i="10"/>
  <c r="F35" i="10" s="1"/>
  <c r="D36" i="10"/>
  <c r="F36" i="10" s="1"/>
  <c r="D37" i="10"/>
  <c r="F37" i="10" s="1"/>
  <c r="D38" i="10"/>
  <c r="F38" i="10" s="1"/>
  <c r="D39" i="10"/>
  <c r="F39" i="10" s="1"/>
  <c r="D40" i="10"/>
  <c r="F40" i="10" s="1"/>
  <c r="D41" i="10"/>
  <c r="F41" i="10" s="1"/>
  <c r="D42" i="10"/>
  <c r="F42" i="10" s="1"/>
  <c r="D43" i="10"/>
  <c r="F43" i="10" s="1"/>
  <c r="D44" i="10"/>
  <c r="F44" i="10" s="1"/>
  <c r="D45" i="10"/>
  <c r="F45" i="10" s="1"/>
  <c r="D46" i="10"/>
  <c r="F46" i="10" s="1"/>
  <c r="D47" i="10"/>
  <c r="F47" i="10" s="1"/>
  <c r="D48" i="10"/>
  <c r="F48" i="10" s="1"/>
  <c r="D49" i="10"/>
  <c r="F49" i="10" s="1"/>
  <c r="D50" i="10"/>
  <c r="F50" i="10" s="1"/>
  <c r="D51" i="10"/>
  <c r="F51" i="10" s="1"/>
  <c r="D52" i="10"/>
  <c r="F52" i="10" s="1"/>
  <c r="D53" i="10"/>
  <c r="F53" i="10" s="1"/>
  <c r="D54" i="10"/>
  <c r="F54" i="10" s="1"/>
  <c r="D55" i="10"/>
  <c r="F55" i="10" s="1"/>
  <c r="D56" i="10"/>
  <c r="F56" i="10" s="1"/>
  <c r="D20" i="10"/>
  <c r="F20" i="10" s="1"/>
  <c r="N19" i="10"/>
  <c r="D19" i="10"/>
  <c r="F19" i="10" s="1"/>
  <c r="O34" i="9" l="1"/>
  <c r="P34" i="9" s="1"/>
  <c r="Q34" i="9" s="1"/>
  <c r="F27" i="9"/>
  <c r="F19" i="9"/>
  <c r="O18" i="9"/>
  <c r="P18" i="9" s="1"/>
  <c r="Q18" i="9" s="1"/>
  <c r="M25" i="9"/>
  <c r="O25" i="9" s="1"/>
  <c r="P25" i="9" s="1"/>
  <c r="Q25" i="9" s="1"/>
  <c r="F32" i="9"/>
  <c r="O32" i="9"/>
  <c r="P32" i="9" s="1"/>
  <c r="Q32" i="9" s="1"/>
  <c r="M17" i="9"/>
  <c r="F24" i="9"/>
  <c r="M33" i="9"/>
  <c r="O33" i="9" s="1"/>
  <c r="P33" i="9" s="1"/>
  <c r="Q33" i="9" s="1"/>
  <c r="O17" i="9"/>
  <c r="P17" i="9" s="1"/>
  <c r="Q17" i="9" s="1"/>
  <c r="O21" i="9"/>
  <c r="P21" i="9" s="1"/>
  <c r="Q21" i="9" s="1"/>
  <c r="O24" i="9"/>
  <c r="P24" i="9" s="1"/>
  <c r="Q24" i="9" s="1"/>
  <c r="O29" i="9"/>
  <c r="P29" i="9" s="1"/>
  <c r="Q29" i="9" s="1"/>
  <c r="O26" i="9"/>
  <c r="P26" i="9" s="1"/>
  <c r="Q26" i="9" s="1"/>
  <c r="O23" i="9"/>
  <c r="P23" i="9" s="1"/>
  <c r="Q23" i="9" s="1"/>
  <c r="F23" i="9"/>
  <c r="M31" i="9"/>
  <c r="O31" i="9" s="1"/>
  <c r="P31" i="9" s="1"/>
  <c r="Q31" i="9" s="1"/>
  <c r="M22" i="9"/>
  <c r="O22" i="9" s="1"/>
  <c r="P22" i="9" s="1"/>
  <c r="Q22" i="9" s="1"/>
  <c r="M20" i="9"/>
  <c r="O20" i="9" s="1"/>
  <c r="P20" i="9" s="1"/>
  <c r="Q20" i="9" s="1"/>
  <c r="M28" i="9"/>
  <c r="O28" i="9" s="1"/>
  <c r="P28" i="9" s="1"/>
  <c r="Q28" i="9" s="1"/>
  <c r="F18" i="9"/>
  <c r="F26" i="9"/>
  <c r="F34" i="9"/>
  <c r="F30" i="9"/>
  <c r="F21" i="9"/>
  <c r="F29" i="9"/>
  <c r="M19" i="10"/>
  <c r="O19" i="10" s="1"/>
  <c r="P19" i="10" s="1"/>
  <c r="Q19" i="10" s="1"/>
  <c r="E6" i="8"/>
  <c r="D6" i="8"/>
  <c r="C7" i="8"/>
  <c r="C6" i="8"/>
  <c r="D15" i="10"/>
  <c r="F15" i="10" s="1"/>
  <c r="N11" i="10"/>
  <c r="D11" i="10"/>
  <c r="M11" i="10" s="1"/>
  <c r="N10" i="10"/>
  <c r="D10" i="10"/>
  <c r="M10" i="10" s="1"/>
  <c r="N9" i="10"/>
  <c r="D9" i="10"/>
  <c r="M9" i="10" s="1"/>
  <c r="N8" i="10"/>
  <c r="D8" i="10"/>
  <c r="M8" i="10" s="1"/>
  <c r="N7" i="10"/>
  <c r="D7" i="10"/>
  <c r="M7" i="10" s="1"/>
  <c r="N6" i="10"/>
  <c r="D6" i="10"/>
  <c r="M6" i="10" s="1"/>
  <c r="O6" i="10" s="1"/>
  <c r="P6" i="10" s="1"/>
  <c r="Q6" i="10" s="1"/>
  <c r="N5" i="10"/>
  <c r="D5" i="10"/>
  <c r="M5" i="10" s="1"/>
  <c r="O5" i="10" s="1"/>
  <c r="P5" i="10" s="1"/>
  <c r="Q5" i="10" s="1"/>
  <c r="N4" i="10"/>
  <c r="D4" i="10"/>
  <c r="F4" i="10" s="1"/>
  <c r="N11" i="9"/>
  <c r="D11" i="9"/>
  <c r="F11" i="9" s="1"/>
  <c r="N10" i="9"/>
  <c r="D10" i="9"/>
  <c r="M10" i="9" s="1"/>
  <c r="N9" i="9"/>
  <c r="D9" i="9"/>
  <c r="M9" i="9" s="1"/>
  <c r="N8" i="9"/>
  <c r="D8" i="9"/>
  <c r="N7" i="9"/>
  <c r="D7" i="9"/>
  <c r="M7" i="9" s="1"/>
  <c r="N6" i="9"/>
  <c r="D6" i="9"/>
  <c r="F6" i="9" s="1"/>
  <c r="N5" i="9"/>
  <c r="D5" i="9"/>
  <c r="M5" i="9" s="1"/>
  <c r="N4" i="9"/>
  <c r="D4" i="9"/>
  <c r="M4" i="9" s="1"/>
  <c r="F10" i="10" l="1"/>
  <c r="O10" i="10"/>
  <c r="P10" i="10" s="1"/>
  <c r="Q10" i="10" s="1"/>
  <c r="M4" i="10"/>
  <c r="O4" i="10" s="1"/>
  <c r="P4" i="10" s="1"/>
  <c r="Q4" i="10" s="1"/>
  <c r="F11" i="10"/>
  <c r="O9" i="10"/>
  <c r="P9" i="10" s="1"/>
  <c r="Q9" i="10" s="1"/>
  <c r="O11" i="10"/>
  <c r="P11" i="10" s="1"/>
  <c r="Q11" i="10" s="1"/>
  <c r="O7" i="10"/>
  <c r="P7" i="10" s="1"/>
  <c r="Q7" i="10" s="1"/>
  <c r="O8" i="10"/>
  <c r="P8" i="10" s="1"/>
  <c r="Q8" i="10" s="1"/>
  <c r="F8" i="10"/>
  <c r="F9" i="10"/>
  <c r="F7" i="10"/>
  <c r="F6" i="10"/>
  <c r="F5" i="10"/>
  <c r="O10" i="9"/>
  <c r="P10" i="9" s="1"/>
  <c r="Q10" i="9" s="1"/>
  <c r="O4" i="9"/>
  <c r="P4" i="9" s="1"/>
  <c r="Q4" i="9" s="1"/>
  <c r="O5" i="9"/>
  <c r="P5" i="9" s="1"/>
  <c r="Q5" i="9" s="1"/>
  <c r="F5" i="9"/>
  <c r="F7" i="9"/>
  <c r="F10" i="9"/>
  <c r="M8" i="9"/>
  <c r="O8" i="9" s="1"/>
  <c r="P8" i="9" s="1"/>
  <c r="Q8" i="9" s="1"/>
  <c r="M6" i="9"/>
  <c r="O6" i="9" s="1"/>
  <c r="P6" i="9" s="1"/>
  <c r="Q6" i="9" s="1"/>
  <c r="M11" i="9"/>
  <c r="O11" i="9" s="1"/>
  <c r="P11" i="9" s="1"/>
  <c r="Q11" i="9" s="1"/>
  <c r="O9" i="9"/>
  <c r="P9" i="9" s="1"/>
  <c r="Q9" i="9" s="1"/>
  <c r="O7" i="9"/>
  <c r="P7" i="9" s="1"/>
  <c r="Q7" i="9" s="1"/>
  <c r="F4" i="9"/>
  <c r="F9" i="9"/>
  <c r="G56" i="5"/>
  <c r="G55" i="5"/>
  <c r="G41" i="5"/>
  <c r="E15" i="8"/>
  <c r="E14" i="8"/>
  <c r="E13" i="8"/>
  <c r="D15" i="8"/>
  <c r="D14" i="8"/>
  <c r="D13" i="8"/>
  <c r="C14" i="8"/>
  <c r="C15" i="8"/>
  <c r="C13" i="8"/>
  <c r="F37" i="5"/>
  <c r="D35" i="5"/>
  <c r="F35" i="5" s="1"/>
  <c r="D36" i="5"/>
  <c r="F36" i="5" s="1"/>
  <c r="D37" i="5"/>
  <c r="D34" i="5"/>
  <c r="F34" i="5" s="1"/>
  <c r="D33" i="5"/>
  <c r="F33" i="5" s="1"/>
  <c r="D32" i="5"/>
  <c r="F32" i="5" s="1"/>
  <c r="D31" i="5"/>
  <c r="F31" i="5" s="1"/>
  <c r="D30" i="5"/>
  <c r="F30" i="5" s="1"/>
  <c r="D29" i="5"/>
  <c r="F29" i="5" s="1"/>
  <c r="D28" i="5"/>
  <c r="F28" i="5" s="1"/>
  <c r="N27" i="5"/>
  <c r="D27" i="5"/>
  <c r="F27" i="5" s="1"/>
  <c r="N26" i="5"/>
  <c r="D26" i="5"/>
  <c r="M26" i="5" s="1"/>
  <c r="O26" i="5" s="1"/>
  <c r="P26" i="5" s="1"/>
  <c r="Q26" i="5" s="1"/>
  <c r="N25" i="5"/>
  <c r="D25" i="5"/>
  <c r="M25" i="5" s="1"/>
  <c r="N24" i="5"/>
  <c r="D24" i="5"/>
  <c r="F24" i="5" s="1"/>
  <c r="N23" i="5"/>
  <c r="D23" i="5"/>
  <c r="M23" i="5" s="1"/>
  <c r="N22" i="5"/>
  <c r="D22" i="5"/>
  <c r="F22" i="5" s="1"/>
  <c r="N21" i="5"/>
  <c r="D21" i="5"/>
  <c r="F21" i="5" s="1"/>
  <c r="N20" i="5"/>
  <c r="D20" i="5"/>
  <c r="M20" i="5" s="1"/>
  <c r="F35" i="4"/>
  <c r="F34" i="4"/>
  <c r="D27" i="4"/>
  <c r="F27" i="4" s="1"/>
  <c r="D28" i="4"/>
  <c r="F28" i="4" s="1"/>
  <c r="D29" i="4"/>
  <c r="F29" i="4" s="1"/>
  <c r="D30" i="4"/>
  <c r="F30" i="4" s="1"/>
  <c r="D31" i="4"/>
  <c r="F31" i="4" s="1"/>
  <c r="D32" i="4"/>
  <c r="F32" i="4" s="1"/>
  <c r="D33" i="4"/>
  <c r="F33" i="4" s="1"/>
  <c r="N26" i="4"/>
  <c r="D26" i="4"/>
  <c r="M26" i="4" s="1"/>
  <c r="N25" i="4"/>
  <c r="D25" i="4"/>
  <c r="F25" i="4" s="1"/>
  <c r="N24" i="4"/>
  <c r="D24" i="4"/>
  <c r="M24" i="4" s="1"/>
  <c r="N23" i="4"/>
  <c r="D23" i="4"/>
  <c r="M23" i="4" s="1"/>
  <c r="N22" i="4"/>
  <c r="D22" i="4"/>
  <c r="M22" i="4" s="1"/>
  <c r="O22" i="4" s="1"/>
  <c r="P22" i="4" s="1"/>
  <c r="Q22" i="4" s="1"/>
  <c r="N21" i="4"/>
  <c r="D21" i="4"/>
  <c r="M21" i="4" s="1"/>
  <c r="N20" i="4"/>
  <c r="D20" i="4"/>
  <c r="M20" i="4" s="1"/>
  <c r="N19" i="4"/>
  <c r="D19" i="4"/>
  <c r="M19" i="4" s="1"/>
  <c r="O19" i="4" s="1"/>
  <c r="P19" i="4" s="1"/>
  <c r="Q19" i="4" s="1"/>
  <c r="F28" i="7"/>
  <c r="N26" i="7"/>
  <c r="N25" i="7"/>
  <c r="N24" i="7"/>
  <c r="N23" i="7"/>
  <c r="N22" i="7"/>
  <c r="N21" i="7"/>
  <c r="N20" i="7"/>
  <c r="N19" i="7"/>
  <c r="D22" i="7"/>
  <c r="M22" i="7" s="1"/>
  <c r="D23" i="7"/>
  <c r="M23" i="7" s="1"/>
  <c r="D24" i="7"/>
  <c r="F24" i="7" s="1"/>
  <c r="D25" i="7"/>
  <c r="M25" i="7" s="1"/>
  <c r="D26" i="7"/>
  <c r="F26" i="7" s="1"/>
  <c r="F13" i="10" l="1"/>
  <c r="F12" i="10"/>
  <c r="I12" i="10" s="1"/>
  <c r="F13" i="9"/>
  <c r="E7" i="8" s="1"/>
  <c r="F12" i="9"/>
  <c r="F23" i="5"/>
  <c r="M22" i="5"/>
  <c r="O22" i="5" s="1"/>
  <c r="P22" i="5" s="1"/>
  <c r="Q22" i="5" s="1"/>
  <c r="M21" i="5"/>
  <c r="O21" i="5" s="1"/>
  <c r="P21" i="5" s="1"/>
  <c r="Q21" i="5" s="1"/>
  <c r="M24" i="5"/>
  <c r="O24" i="5" s="1"/>
  <c r="P24" i="5" s="1"/>
  <c r="Q24" i="5" s="1"/>
  <c r="O23" i="5"/>
  <c r="P23" i="5" s="1"/>
  <c r="Q23" i="5" s="1"/>
  <c r="O27" i="5"/>
  <c r="P27" i="5" s="1"/>
  <c r="Q27" i="5" s="1"/>
  <c r="O20" i="5"/>
  <c r="P20" i="5" s="1"/>
  <c r="Q20" i="5" s="1"/>
  <c r="O25" i="5"/>
  <c r="P25" i="5" s="1"/>
  <c r="Q25" i="5" s="1"/>
  <c r="F20" i="5"/>
  <c r="F26" i="5"/>
  <c r="M27" i="5"/>
  <c r="F25" i="5"/>
  <c r="F24" i="4"/>
  <c r="O23" i="4"/>
  <c r="P23" i="4" s="1"/>
  <c r="Q23" i="4" s="1"/>
  <c r="F19" i="4"/>
  <c r="M25" i="4"/>
  <c r="O25" i="4" s="1"/>
  <c r="P25" i="4" s="1"/>
  <c r="Q25" i="4" s="1"/>
  <c r="O21" i="4"/>
  <c r="P21" i="4" s="1"/>
  <c r="Q21" i="4" s="1"/>
  <c r="O24" i="4"/>
  <c r="P24" i="4" s="1"/>
  <c r="Q24" i="4" s="1"/>
  <c r="O26" i="4"/>
  <c r="P26" i="4" s="1"/>
  <c r="Q26" i="4" s="1"/>
  <c r="O20" i="4"/>
  <c r="P20" i="4" s="1"/>
  <c r="Q20" i="4" s="1"/>
  <c r="F23" i="4"/>
  <c r="F22" i="4"/>
  <c r="F21" i="4"/>
  <c r="F20" i="4"/>
  <c r="F26" i="4"/>
  <c r="O22" i="7"/>
  <c r="P22" i="7" s="1"/>
  <c r="Q22" i="7" s="1"/>
  <c r="M24" i="7"/>
  <c r="O24" i="7" s="1"/>
  <c r="P24" i="7" s="1"/>
  <c r="Q24" i="7" s="1"/>
  <c r="F25" i="7"/>
  <c r="F23" i="7"/>
  <c r="F22" i="7"/>
  <c r="O25" i="7"/>
  <c r="P25" i="7" s="1"/>
  <c r="Q25" i="7" s="1"/>
  <c r="M26" i="7"/>
  <c r="O26" i="7" s="1"/>
  <c r="P26" i="7" s="1"/>
  <c r="Q26" i="7" s="1"/>
  <c r="O23" i="7"/>
  <c r="P23" i="7" s="1"/>
  <c r="Q23" i="7" s="1"/>
  <c r="E3" i="8"/>
  <c r="D3" i="8"/>
  <c r="C8" i="8"/>
  <c r="C5" i="8"/>
  <c r="C4" i="8"/>
  <c r="C3" i="8"/>
  <c r="I12" i="9" l="1"/>
  <c r="D7" i="8"/>
  <c r="F38" i="5"/>
  <c r="I38" i="5" s="1"/>
  <c r="Q38" i="5"/>
  <c r="F39" i="5"/>
  <c r="Q34" i="4"/>
  <c r="I34" i="4"/>
  <c r="F16" i="6"/>
  <c r="D7" i="6"/>
  <c r="M7" i="6" s="1"/>
  <c r="D8" i="6"/>
  <c r="M8" i="6" s="1"/>
  <c r="D9" i="6"/>
  <c r="F9" i="6" s="1"/>
  <c r="D10" i="6"/>
  <c r="F10" i="6" s="1"/>
  <c r="D11" i="6"/>
  <c r="F11" i="6" s="1"/>
  <c r="D12" i="6"/>
  <c r="M12" i="6" s="1"/>
  <c r="D13" i="6"/>
  <c r="M13" i="6" s="1"/>
  <c r="D14" i="6"/>
  <c r="F14" i="6" s="1"/>
  <c r="N13" i="6"/>
  <c r="N12" i="6"/>
  <c r="N11" i="6"/>
  <c r="M11" i="6"/>
  <c r="N10" i="6"/>
  <c r="M10" i="6"/>
  <c r="O10" i="6" s="1"/>
  <c r="P10" i="6" s="1"/>
  <c r="Q10" i="6" s="1"/>
  <c r="N9" i="6"/>
  <c r="M9" i="6"/>
  <c r="N8" i="6"/>
  <c r="N7" i="6"/>
  <c r="N6" i="6"/>
  <c r="N5" i="6"/>
  <c r="N4" i="6"/>
  <c r="D4" i="6"/>
  <c r="F4" i="6" s="1"/>
  <c r="D5" i="6"/>
  <c r="F5" i="6" s="1"/>
  <c r="D6" i="6"/>
  <c r="F6" i="6" s="1"/>
  <c r="F13" i="6" l="1"/>
  <c r="F12" i="6"/>
  <c r="F8" i="6"/>
  <c r="F7" i="6"/>
  <c r="O8" i="6"/>
  <c r="P8" i="6" s="1"/>
  <c r="Q8" i="6" s="1"/>
  <c r="O9" i="6"/>
  <c r="P9" i="6" s="1"/>
  <c r="Q9" i="6" s="1"/>
  <c r="O11" i="6"/>
  <c r="P11" i="6" s="1"/>
  <c r="Q11" i="6" s="1"/>
  <c r="O7" i="6"/>
  <c r="P7" i="6" s="1"/>
  <c r="Q7" i="6" s="1"/>
  <c r="O12" i="6"/>
  <c r="P12" i="6" s="1"/>
  <c r="Q12" i="6" s="1"/>
  <c r="M4" i="6"/>
  <c r="O4" i="6"/>
  <c r="P4" i="6" s="1"/>
  <c r="Q4" i="6" s="1"/>
  <c r="O13" i="6"/>
  <c r="P13" i="6" s="1"/>
  <c r="Q13" i="6" s="1"/>
  <c r="M6" i="6"/>
  <c r="O6" i="6" s="1"/>
  <c r="P6" i="6" s="1"/>
  <c r="Q6" i="6" s="1"/>
  <c r="M5" i="6"/>
  <c r="O5" i="6" s="1"/>
  <c r="P5" i="6" s="1"/>
  <c r="Q5" i="6" s="1"/>
  <c r="D14" i="5"/>
  <c r="F14" i="5" s="1"/>
  <c r="D7" i="5"/>
  <c r="F7" i="5" s="1"/>
  <c r="D8" i="5"/>
  <c r="F8" i="5" s="1"/>
  <c r="D9" i="5"/>
  <c r="M9" i="5" s="1"/>
  <c r="O9" i="5" s="1"/>
  <c r="P9" i="5" s="1"/>
  <c r="Q9" i="5" s="1"/>
  <c r="F9" i="5"/>
  <c r="D10" i="5"/>
  <c r="F10" i="5"/>
  <c r="D11" i="5"/>
  <c r="F11" i="5" s="1"/>
  <c r="D12" i="5"/>
  <c r="F12" i="5" s="1"/>
  <c r="D13" i="5"/>
  <c r="F13" i="5" s="1"/>
  <c r="N13" i="5"/>
  <c r="N12" i="5"/>
  <c r="N11" i="5"/>
  <c r="M11" i="5"/>
  <c r="N10" i="5"/>
  <c r="M10" i="5"/>
  <c r="O10" i="5" s="1"/>
  <c r="P10" i="5" s="1"/>
  <c r="Q10" i="5" s="1"/>
  <c r="N9" i="5"/>
  <c r="N8" i="5"/>
  <c r="M8" i="5"/>
  <c r="N7" i="5"/>
  <c r="N6" i="5"/>
  <c r="N5" i="5"/>
  <c r="N4" i="5"/>
  <c r="N13" i="4"/>
  <c r="M13" i="4"/>
  <c r="N12" i="4"/>
  <c r="N11" i="4"/>
  <c r="N10" i="4"/>
  <c r="N9" i="4"/>
  <c r="N8" i="4"/>
  <c r="N7" i="4"/>
  <c r="N6" i="4"/>
  <c r="N5" i="4"/>
  <c r="N4" i="4"/>
  <c r="M4" i="4"/>
  <c r="D13" i="4"/>
  <c r="F13" i="4" s="1"/>
  <c r="D7" i="4"/>
  <c r="F7" i="4" s="1"/>
  <c r="D8" i="4"/>
  <c r="F8" i="4" s="1"/>
  <c r="D9" i="4"/>
  <c r="F9" i="4" s="1"/>
  <c r="D10" i="4"/>
  <c r="M10" i="4" s="1"/>
  <c r="D11" i="4"/>
  <c r="F11" i="4" s="1"/>
  <c r="D12" i="4"/>
  <c r="F12" i="4" s="1"/>
  <c r="N5" i="7"/>
  <c r="N6" i="7"/>
  <c r="N7" i="7"/>
  <c r="N8" i="7"/>
  <c r="N9" i="7"/>
  <c r="N10" i="7"/>
  <c r="N11" i="7"/>
  <c r="N12" i="7"/>
  <c r="N13" i="7"/>
  <c r="N4" i="7"/>
  <c r="D5" i="7"/>
  <c r="M5" i="7" s="1"/>
  <c r="D6" i="7"/>
  <c r="M6" i="7" s="1"/>
  <c r="D7" i="7"/>
  <c r="F7" i="7" s="1"/>
  <c r="D8" i="7"/>
  <c r="F8" i="7" s="1"/>
  <c r="D9" i="7"/>
  <c r="F9" i="7" s="1"/>
  <c r="D10" i="7"/>
  <c r="F10" i="7" s="1"/>
  <c r="D11" i="7"/>
  <c r="F11" i="7" s="1"/>
  <c r="D12" i="7"/>
  <c r="F12" i="7" s="1"/>
  <c r="D13" i="7"/>
  <c r="F13" i="7" s="1"/>
  <c r="D4" i="7"/>
  <c r="F4" i="7" s="1"/>
  <c r="D21" i="7"/>
  <c r="D20" i="7"/>
  <c r="D19" i="7"/>
  <c r="I25" i="6"/>
  <c r="G25" i="6"/>
  <c r="D20" i="6"/>
  <c r="I24" i="6" s="1"/>
  <c r="D19" i="6"/>
  <c r="F19" i="6" s="1"/>
  <c r="D18" i="6"/>
  <c r="G24" i="6" s="1"/>
  <c r="G26" i="6" s="1"/>
  <c r="G28" i="6" s="1"/>
  <c r="G30" i="6" s="1"/>
  <c r="G31" i="6" s="1"/>
  <c r="D6" i="5"/>
  <c r="F6" i="5" s="1"/>
  <c r="D5" i="5"/>
  <c r="F5" i="5" s="1"/>
  <c r="F16" i="5" s="1"/>
  <c r="E5" i="8" s="1"/>
  <c r="D4" i="5"/>
  <c r="D6" i="4"/>
  <c r="M6" i="4" s="1"/>
  <c r="D5" i="4"/>
  <c r="M5" i="4" s="1"/>
  <c r="O5" i="4" s="1"/>
  <c r="P5" i="4" s="1"/>
  <c r="Q5" i="4" s="1"/>
  <c r="D4" i="4"/>
  <c r="M9" i="4" l="1"/>
  <c r="O9" i="4" s="1"/>
  <c r="P9" i="4" s="1"/>
  <c r="Q9" i="4" s="1"/>
  <c r="F10" i="4"/>
  <c r="M4" i="7"/>
  <c r="O4" i="7" s="1"/>
  <c r="P4" i="7" s="1"/>
  <c r="Q4" i="7" s="1"/>
  <c r="M19" i="7"/>
  <c r="O19" i="7" s="1"/>
  <c r="P19" i="7" s="1"/>
  <c r="Q19" i="7" s="1"/>
  <c r="F20" i="7"/>
  <c r="M20" i="7"/>
  <c r="O20" i="7" s="1"/>
  <c r="P20" i="7" s="1"/>
  <c r="Q20" i="7" s="1"/>
  <c r="F21" i="7"/>
  <c r="M21" i="7"/>
  <c r="O21" i="7" s="1"/>
  <c r="P21" i="7" s="1"/>
  <c r="Q21" i="7" s="1"/>
  <c r="M8" i="7"/>
  <c r="O8" i="7" s="1"/>
  <c r="P8" i="7" s="1"/>
  <c r="Q8" i="7" s="1"/>
  <c r="M13" i="7"/>
  <c r="O13" i="7" s="1"/>
  <c r="P13" i="7" s="1"/>
  <c r="Q13" i="7" s="1"/>
  <c r="O6" i="7"/>
  <c r="P6" i="7" s="1"/>
  <c r="Q6" i="7" s="1"/>
  <c r="M11" i="7"/>
  <c r="O11" i="7" s="1"/>
  <c r="P11" i="7" s="1"/>
  <c r="Q11" i="7" s="1"/>
  <c r="M10" i="7"/>
  <c r="O10" i="7" s="1"/>
  <c r="P10" i="7" s="1"/>
  <c r="Q10" i="7" s="1"/>
  <c r="O5" i="7"/>
  <c r="P5" i="7" s="1"/>
  <c r="Q5" i="7" s="1"/>
  <c r="M7" i="7"/>
  <c r="O7" i="7" s="1"/>
  <c r="P7" i="7" s="1"/>
  <c r="Q7" i="7" s="1"/>
  <c r="M12" i="7"/>
  <c r="O12" i="7" s="1"/>
  <c r="P12" i="7" s="1"/>
  <c r="Q12" i="7" s="1"/>
  <c r="M9" i="7"/>
  <c r="O9" i="7" s="1"/>
  <c r="P9" i="7" s="1"/>
  <c r="Q9" i="7" s="1"/>
  <c r="O13" i="4"/>
  <c r="P13" i="4" s="1"/>
  <c r="Q13" i="4" s="1"/>
  <c r="O6" i="4"/>
  <c r="P6" i="4" s="1"/>
  <c r="Q6" i="4" s="1"/>
  <c r="M7" i="4"/>
  <c r="O7" i="4" s="1"/>
  <c r="P7" i="4" s="1"/>
  <c r="Q7" i="4" s="1"/>
  <c r="O10" i="4"/>
  <c r="P10" i="4" s="1"/>
  <c r="Q10" i="4" s="1"/>
  <c r="M11" i="4"/>
  <c r="O11" i="4" s="1"/>
  <c r="P11" i="4" s="1"/>
  <c r="Q11" i="4" s="1"/>
  <c r="M8" i="4"/>
  <c r="O8" i="4" s="1"/>
  <c r="P8" i="4" s="1"/>
  <c r="Q8" i="4" s="1"/>
  <c r="O4" i="4"/>
  <c r="P4" i="4" s="1"/>
  <c r="Q4" i="4" s="1"/>
  <c r="M12" i="4"/>
  <c r="O12" i="4" s="1"/>
  <c r="P12" i="4" s="1"/>
  <c r="Q12" i="4" s="1"/>
  <c r="M7" i="5"/>
  <c r="O7" i="5" s="1"/>
  <c r="P7" i="5" s="1"/>
  <c r="Q7" i="5" s="1"/>
  <c r="M13" i="5"/>
  <c r="Q14" i="6"/>
  <c r="I26" i="6"/>
  <c r="I28" i="6" s="1"/>
  <c r="I30" i="6" s="1"/>
  <c r="F20" i="6"/>
  <c r="O13" i="5"/>
  <c r="P13" i="5" s="1"/>
  <c r="Q13" i="5" s="1"/>
  <c r="O11" i="5"/>
  <c r="P11" i="5" s="1"/>
  <c r="Q11" i="5" s="1"/>
  <c r="O8" i="5"/>
  <c r="P8" i="5" s="1"/>
  <c r="Q8" i="5" s="1"/>
  <c r="M12" i="5"/>
  <c r="O12" i="5" s="1"/>
  <c r="P12" i="5" s="1"/>
  <c r="Q12" i="5" s="1"/>
  <c r="M6" i="5"/>
  <c r="O6" i="5" s="1"/>
  <c r="P6" i="5" s="1"/>
  <c r="Q6" i="5" s="1"/>
  <c r="M5" i="5"/>
  <c r="O5" i="5" s="1"/>
  <c r="P5" i="5" s="1"/>
  <c r="Q5" i="5" s="1"/>
  <c r="M4" i="5"/>
  <c r="O4" i="5" s="1"/>
  <c r="P4" i="5" s="1"/>
  <c r="Q4" i="5" s="1"/>
  <c r="F4" i="4"/>
  <c r="F19" i="7"/>
  <c r="F5" i="7"/>
  <c r="F6" i="7"/>
  <c r="I15" i="6"/>
  <c r="F18" i="6"/>
  <c r="F21" i="6" s="1"/>
  <c r="I21" i="6" s="1"/>
  <c r="F4" i="5"/>
  <c r="F15" i="5" s="1"/>
  <c r="D5" i="8" s="1"/>
  <c r="F6" i="4"/>
  <c r="F5" i="4"/>
  <c r="B39" i="1"/>
  <c r="G28" i="1"/>
  <c r="B28" i="1"/>
  <c r="D32" i="1"/>
  <c r="C32" i="1"/>
  <c r="C34" i="1" s="1"/>
  <c r="C36" i="1" s="1"/>
  <c r="C38" i="1" s="1"/>
  <c r="B32" i="1"/>
  <c r="B34" i="1" s="1"/>
  <c r="B36" i="1" s="1"/>
  <c r="B38" i="1" s="1"/>
  <c r="I21" i="1"/>
  <c r="G21" i="1"/>
  <c r="D33" i="1"/>
  <c r="C33" i="1"/>
  <c r="B33" i="1"/>
  <c r="I22" i="1"/>
  <c r="G22" i="1"/>
  <c r="D21" i="1"/>
  <c r="C21" i="1"/>
  <c r="D22" i="1"/>
  <c r="C22" i="1"/>
  <c r="B21" i="1"/>
  <c r="B23" i="1" s="1"/>
  <c r="B25" i="1" s="1"/>
  <c r="B27" i="1" s="1"/>
  <c r="B22" i="1"/>
  <c r="F14" i="4" l="1"/>
  <c r="D4" i="8" s="1"/>
  <c r="E4" i="8"/>
  <c r="Q27" i="7"/>
  <c r="F27" i="7"/>
  <c r="I27" i="7" s="1"/>
  <c r="F15" i="7"/>
  <c r="E8" i="8" s="1"/>
  <c r="Q14" i="7"/>
  <c r="Q14" i="4"/>
  <c r="Q14" i="5"/>
  <c r="I15" i="5"/>
  <c r="F14" i="7"/>
  <c r="D34" i="1"/>
  <c r="D36" i="1" s="1"/>
  <c r="D38" i="1" s="1"/>
  <c r="I23" i="1"/>
  <c r="I25" i="1" s="1"/>
  <c r="I27" i="1" s="1"/>
  <c r="G23" i="1"/>
  <c r="G25" i="1" s="1"/>
  <c r="G27" i="1" s="1"/>
  <c r="D23" i="1"/>
  <c r="D25" i="1" s="1"/>
  <c r="D27" i="1" s="1"/>
  <c r="C23" i="1"/>
  <c r="C25" i="1" s="1"/>
  <c r="C27" i="1" s="1"/>
  <c r="P8" i="1"/>
  <c r="P4" i="1"/>
  <c r="P5" i="1" s="1"/>
  <c r="P7" i="1" s="1"/>
  <c r="P3" i="1"/>
  <c r="I14" i="4" l="1"/>
  <c r="I14" i="7"/>
  <c r="D8" i="8"/>
  <c r="E12" i="3"/>
  <c r="E11" i="3"/>
  <c r="D11" i="3"/>
  <c r="D12" i="3"/>
  <c r="C12" i="3"/>
  <c r="B12" i="3"/>
  <c r="C11" i="3"/>
  <c r="B11" i="3"/>
  <c r="E10" i="3"/>
  <c r="E9" i="3"/>
  <c r="D9" i="3"/>
  <c r="D10" i="3"/>
  <c r="C10" i="3"/>
  <c r="B10" i="3"/>
  <c r="C9" i="3"/>
  <c r="B9" i="3"/>
  <c r="E8" i="3"/>
  <c r="D8" i="3"/>
  <c r="C8" i="3"/>
  <c r="B8" i="3"/>
  <c r="C7" i="3"/>
  <c r="B7" i="3"/>
  <c r="D7" i="3" s="1"/>
  <c r="E7" i="3" s="1"/>
  <c r="E6" i="3"/>
  <c r="D6" i="3"/>
  <c r="C6" i="3"/>
  <c r="B6" i="3"/>
  <c r="C5" i="3"/>
  <c r="B5" i="3"/>
  <c r="C4" i="3"/>
  <c r="B4" i="3"/>
  <c r="N12" i="3"/>
  <c r="N11" i="3"/>
  <c r="N10" i="3"/>
  <c r="D5" i="3"/>
  <c r="E5" i="3" s="1"/>
  <c r="D4" i="3"/>
  <c r="E4" i="3" s="1"/>
  <c r="O10" i="2" l="1"/>
  <c r="N5" i="2"/>
  <c r="M5" i="2"/>
  <c r="J5" i="2"/>
  <c r="I5" i="2"/>
  <c r="F5" i="2"/>
  <c r="E5" i="2"/>
  <c r="M4" i="2"/>
  <c r="N4" i="2" s="1"/>
  <c r="I4" i="2"/>
  <c r="J4" i="2" s="1"/>
  <c r="D4" i="2"/>
  <c r="C4" i="2"/>
  <c r="D17" i="2"/>
  <c r="C17" i="2"/>
  <c r="B17" i="2"/>
  <c r="E4" i="2" l="1"/>
  <c r="F4" i="2" s="1"/>
  <c r="O4" i="2" s="1"/>
  <c r="O8" i="2" s="1"/>
  <c r="O5" i="2"/>
  <c r="O9" i="2" s="1"/>
  <c r="B5" i="2"/>
  <c r="B4" i="2"/>
  <c r="I17" i="1"/>
  <c r="I12" i="1"/>
  <c r="I7" i="1"/>
  <c r="F17" i="1" l="1"/>
  <c r="F12" i="1"/>
  <c r="F7" i="1"/>
  <c r="F6" i="1"/>
  <c r="F4" i="1"/>
  <c r="D4" i="1"/>
  <c r="D16" i="1"/>
  <c r="F16" i="1" s="1"/>
  <c r="D14" i="1"/>
  <c r="F14" i="1" s="1"/>
  <c r="D15" i="1"/>
  <c r="F15" i="1" s="1"/>
  <c r="D11" i="1"/>
  <c r="F11" i="1" s="1"/>
  <c r="D5" i="1"/>
  <c r="F5" i="1" s="1"/>
  <c r="D6" i="1"/>
  <c r="D9" i="1"/>
  <c r="F9" i="1" s="1"/>
  <c r="D10" i="1"/>
  <c r="F10" i="1" s="1"/>
</calcChain>
</file>

<file path=xl/sharedStrings.xml><?xml version="1.0" encoding="utf-8"?>
<sst xmlns="http://schemas.openxmlformats.org/spreadsheetml/2006/main" count="474" uniqueCount="122">
  <si>
    <t>AA7075-T651</t>
  </si>
  <si>
    <t>LT</t>
  </si>
  <si>
    <t>comments</t>
  </si>
  <si>
    <t>Locaation]</t>
  </si>
  <si>
    <t>d1(horizontal)</t>
  </si>
  <si>
    <t>d2 (vertical)</t>
  </si>
  <si>
    <t>arithmetic mean</t>
  </si>
  <si>
    <t>microhardness machine 1kgf 15 secs</t>
  </si>
  <si>
    <t>meas 2</t>
  </si>
  <si>
    <t>meas 3</t>
  </si>
  <si>
    <t>meas 1</t>
  </si>
  <si>
    <t>LS</t>
  </si>
  <si>
    <t>Meas 3</t>
  </si>
  <si>
    <t>Meas 2</t>
  </si>
  <si>
    <t>hardness machine 20kgf 5secs</t>
  </si>
  <si>
    <t>Meas 1</t>
  </si>
  <si>
    <t>ST</t>
  </si>
  <si>
    <t>Vickers hardness</t>
  </si>
  <si>
    <t>Force</t>
  </si>
  <si>
    <t xml:space="preserve">may have used different weight </t>
  </si>
  <si>
    <t>Average</t>
  </si>
  <si>
    <t>Yield stress</t>
  </si>
  <si>
    <t>EDMC</t>
  </si>
  <si>
    <t>1st polish</t>
  </si>
  <si>
    <t>2nd polish</t>
  </si>
  <si>
    <t>na</t>
  </si>
  <si>
    <t>did not see any diamond marks. Surface looks very uenven, not flat. 3D features…..likely from flow during plastic deformation</t>
  </si>
  <si>
    <t>As received</t>
  </si>
  <si>
    <t>Ident 1</t>
  </si>
  <si>
    <t>Horz</t>
  </si>
  <si>
    <t>Vertical</t>
  </si>
  <si>
    <t>Hardness</t>
  </si>
  <si>
    <t>Thickness</t>
  </si>
  <si>
    <t>NA</t>
  </si>
  <si>
    <t>Indent 2</t>
  </si>
  <si>
    <t>Indent 3</t>
  </si>
  <si>
    <t>Horizontal</t>
  </si>
  <si>
    <t>Raw data</t>
  </si>
  <si>
    <t>as received</t>
  </si>
  <si>
    <t>Vickers Hardness</t>
  </si>
  <si>
    <t>HV = 1.854 F/d^2</t>
  </si>
  <si>
    <t>Averag</t>
  </si>
  <si>
    <t>Total</t>
  </si>
  <si>
    <t>Average Hardness</t>
  </si>
  <si>
    <t>AA7075-T651-TS</t>
  </si>
  <si>
    <t>within expected values for AA7075-T651 = 158</t>
  </si>
  <si>
    <t>Total stress</t>
  </si>
  <si>
    <t>1st poli9sh</t>
  </si>
  <si>
    <t>baseline</t>
  </si>
  <si>
    <t>Sources of errors from presence of intermetallics below and around indents</t>
  </si>
  <si>
    <t>Confirms that after approximately 0.1mm of removal of surface the material is as baseline material…having removed EDMC effects</t>
  </si>
  <si>
    <t>7150 trial to decide is can workout LSP side</t>
  </si>
  <si>
    <t>centre</t>
  </si>
  <si>
    <t>1-1 bottom</t>
  </si>
  <si>
    <t>1-1 second bottom</t>
  </si>
  <si>
    <t>1-1 top</t>
  </si>
  <si>
    <t>1-2 .</t>
  </si>
  <si>
    <t>2-1 bottom</t>
  </si>
  <si>
    <t>2-1 top</t>
  </si>
  <si>
    <t>2-2 bottom</t>
  </si>
  <si>
    <t>2-2 top</t>
  </si>
  <si>
    <t>Conclusion</t>
  </si>
  <si>
    <t>Cannot confirm which side has been LSp'ed</t>
  </si>
  <si>
    <t>area</t>
  </si>
  <si>
    <t>Load</t>
  </si>
  <si>
    <t>Pm</t>
  </si>
  <si>
    <t>Hv</t>
  </si>
  <si>
    <t>Tiryakioglu (2015)</t>
  </si>
  <si>
    <t>meas2</t>
  </si>
  <si>
    <t>meas1</t>
  </si>
  <si>
    <t>Tiryakioglu (2015) LT</t>
  </si>
  <si>
    <t>Average LT</t>
  </si>
  <si>
    <t>Average LS</t>
  </si>
  <si>
    <t>Average ST</t>
  </si>
  <si>
    <t>Tiryakioglu (2015) ST</t>
  </si>
  <si>
    <t>Tiryakioglu (2015) LS</t>
  </si>
  <si>
    <t>microhardness machine 0.5kgf 30 secs</t>
  </si>
  <si>
    <t>AA7075-Ab104 AR</t>
  </si>
  <si>
    <t>AA7075-fpb-lt26-6 AR</t>
  </si>
  <si>
    <t>AA7075ffblt22</t>
  </si>
  <si>
    <t>1200 sic</t>
  </si>
  <si>
    <t>AA7075-lt 1 um</t>
  </si>
  <si>
    <t xml:space="preserve">microhardness machine 0.5kgf </t>
  </si>
  <si>
    <t>load</t>
  </si>
  <si>
    <t>pm</t>
  </si>
  <si>
    <t>YS</t>
  </si>
  <si>
    <t>average</t>
  </si>
  <si>
    <t>St. Dev</t>
  </si>
  <si>
    <t>Type</t>
  </si>
  <si>
    <t>Number of measurements</t>
  </si>
  <si>
    <t>St. dev.</t>
  </si>
  <si>
    <t>Baseline</t>
  </si>
  <si>
    <t>Surface condition</t>
  </si>
  <si>
    <t>1200 SiC</t>
  </si>
  <si>
    <t>AR</t>
  </si>
  <si>
    <t>LSP Ab</t>
  </si>
  <si>
    <t>LSP nAb</t>
  </si>
  <si>
    <t>1 um</t>
  </si>
  <si>
    <t>Distance from surface/ um</t>
  </si>
  <si>
    <t>LS 1 um</t>
  </si>
  <si>
    <t>Location</t>
  </si>
  <si>
    <t>AA7075-fpb-lt26-2 1 um</t>
  </si>
  <si>
    <t>AA7075 Vickers Hardness (LT plane)</t>
  </si>
  <si>
    <t>AA7075 Vickers Hardness (LS plane)</t>
  </si>
  <si>
    <t>AA7075-fpb-lt25 nAb AR</t>
  </si>
  <si>
    <t>LSP Ab RS</t>
  </si>
  <si>
    <t>LSP nAb RS</t>
  </si>
  <si>
    <t>dist from surface um</t>
  </si>
  <si>
    <t>less than 50 MPa CS</t>
  </si>
  <si>
    <t>little, none or tensile</t>
  </si>
  <si>
    <t>little, none or tensile cs</t>
  </si>
  <si>
    <t>Ab uncut AR</t>
  </si>
  <si>
    <t>nAb uncut AR</t>
  </si>
  <si>
    <t>lt</t>
  </si>
  <si>
    <t>d1</t>
  </si>
  <si>
    <t>d2</t>
  </si>
  <si>
    <t>vick</t>
  </si>
  <si>
    <t>500g</t>
  </si>
  <si>
    <t>last three were close to edge of LSP treatment, last value may have captured tensile rs</t>
  </si>
  <si>
    <t>nab25 1 um</t>
  </si>
  <si>
    <t>l17</t>
  </si>
  <si>
    <t>vickers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</si>
</sst>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9" fontId="3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2" borderId="0" xfId="1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0" fontId="2" fillId="0" borderId="1" xfId="0" applyFont="1" applyBorder="1"/>
    <xf numFmtId="2" fontId="2" fillId="0" borderId="0" xfId="0" applyNumberFormat="1" applyFont="1"/>
    <xf numFmtId="2" fontId="0" fillId="0" borderId="1" xfId="0" applyNumberFormat="1" applyBorder="1"/>
    <xf numFmtId="0" fontId="2" fillId="0" borderId="0" xfId="0" applyFont="1" applyBorder="1" applyAlignment="1">
      <alignment horizontal="center"/>
    </xf>
    <xf numFmtId="0" fontId="0" fillId="0" borderId="5" xfId="0" applyFill="1" applyBorder="1"/>
    <xf numFmtId="0" fontId="2" fillId="0" borderId="0" xfId="0" applyFont="1" applyFill="1" applyBorder="1"/>
    <xf numFmtId="16" fontId="2" fillId="0" borderId="0" xfId="0" applyNumberFormat="1" applyFont="1" applyFill="1" applyBorder="1"/>
    <xf numFmtId="2" fontId="0" fillId="0" borderId="0" xfId="0" applyNumberFormat="1"/>
    <xf numFmtId="0" fontId="2" fillId="0" borderId="0" xfId="0" applyFont="1" applyAlignment="1">
      <alignment horizontal="center"/>
    </xf>
    <xf numFmtId="0" fontId="0" fillId="0" borderId="6" xfId="0" applyBorder="1"/>
    <xf numFmtId="2" fontId="0" fillId="0" borderId="7" xfId="0" applyNumberFormat="1" applyBorder="1"/>
    <xf numFmtId="0" fontId="0" fillId="0" borderId="8" xfId="0" applyBorder="1"/>
    <xf numFmtId="0" fontId="0" fillId="0" borderId="9" xfId="0" applyBorder="1"/>
    <xf numFmtId="2" fontId="0" fillId="0" borderId="10" xfId="0" applyNumberFormat="1" applyBorder="1"/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0" fillId="0" borderId="0" xfId="0" applyNumberFormat="1" applyBorder="1"/>
    <xf numFmtId="1" fontId="0" fillId="0" borderId="9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" fontId="0" fillId="0" borderId="0" xfId="0" applyNumberFormat="1"/>
    <xf numFmtId="1" fontId="2" fillId="0" borderId="0" xfId="0" applyNumberFormat="1" applyFont="1"/>
    <xf numFmtId="0" fontId="0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1" fontId="0" fillId="0" borderId="15" xfId="0" applyNumberFormat="1" applyBorder="1"/>
    <xf numFmtId="2" fontId="0" fillId="0" borderId="16" xfId="0" applyNumberFormat="1" applyBorder="1"/>
    <xf numFmtId="1" fontId="0" fillId="0" borderId="0" xfId="0" applyNumberForma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9" fontId="0" fillId="0" borderId="0" xfId="2" applyFont="1"/>
  </cellXfs>
  <cellStyles count="3">
    <cellStyle name="Bad" xfId="1" builtinId="27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AB-LSP LS plane Micro-Hardness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'fbp-lt11 Ab'!$G$19:$G$56</c:f>
              <c:numCache>
                <c:formatCode>0</c:formatCode>
                <c:ptCount val="38"/>
                <c:pt idx="0">
                  <c:v>214</c:v>
                </c:pt>
                <c:pt idx="1">
                  <c:v>147</c:v>
                </c:pt>
                <c:pt idx="2">
                  <c:v>219</c:v>
                </c:pt>
                <c:pt idx="3">
                  <c:v>285.45999999999998</c:v>
                </c:pt>
                <c:pt idx="4">
                  <c:v>343</c:v>
                </c:pt>
                <c:pt idx="5">
                  <c:v>383</c:v>
                </c:pt>
                <c:pt idx="6">
                  <c:v>473</c:v>
                </c:pt>
                <c:pt idx="7">
                  <c:v>558</c:v>
                </c:pt>
                <c:pt idx="8">
                  <c:v>616</c:v>
                </c:pt>
                <c:pt idx="9">
                  <c:v>704</c:v>
                </c:pt>
                <c:pt idx="10">
                  <c:v>781</c:v>
                </c:pt>
                <c:pt idx="11">
                  <c:v>843</c:v>
                </c:pt>
                <c:pt idx="12">
                  <c:v>879</c:v>
                </c:pt>
                <c:pt idx="13">
                  <c:v>927.8</c:v>
                </c:pt>
                <c:pt idx="14">
                  <c:v>972</c:v>
                </c:pt>
                <c:pt idx="15">
                  <c:v>1075</c:v>
                </c:pt>
                <c:pt idx="16">
                  <c:v>1173</c:v>
                </c:pt>
                <c:pt idx="17">
                  <c:v>1276</c:v>
                </c:pt>
                <c:pt idx="18">
                  <c:v>1325</c:v>
                </c:pt>
                <c:pt idx="19">
                  <c:v>1436</c:v>
                </c:pt>
                <c:pt idx="20">
                  <c:v>1525</c:v>
                </c:pt>
                <c:pt idx="21">
                  <c:v>1624</c:v>
                </c:pt>
                <c:pt idx="22">
                  <c:v>1731</c:v>
                </c:pt>
                <c:pt idx="23">
                  <c:v>1824</c:v>
                </c:pt>
                <c:pt idx="24">
                  <c:v>1931</c:v>
                </c:pt>
                <c:pt idx="25">
                  <c:v>2016</c:v>
                </c:pt>
                <c:pt idx="26">
                  <c:v>2100</c:v>
                </c:pt>
                <c:pt idx="27">
                  <c:v>2200</c:v>
                </c:pt>
                <c:pt idx="28">
                  <c:v>94</c:v>
                </c:pt>
                <c:pt idx="29">
                  <c:v>201</c:v>
                </c:pt>
                <c:pt idx="30">
                  <c:v>290</c:v>
                </c:pt>
                <c:pt idx="31">
                  <c:v>540</c:v>
                </c:pt>
                <c:pt idx="32">
                  <c:v>696</c:v>
                </c:pt>
                <c:pt idx="33">
                  <c:v>852</c:v>
                </c:pt>
                <c:pt idx="34">
                  <c:v>1039</c:v>
                </c:pt>
                <c:pt idx="35">
                  <c:v>1293</c:v>
                </c:pt>
                <c:pt idx="36">
                  <c:v>1539</c:v>
                </c:pt>
                <c:pt idx="37">
                  <c:v>1789</c:v>
                </c:pt>
              </c:numCache>
            </c:numRef>
          </c:xVal>
          <c:yVal>
            <c:numRef>
              <c:f>'fbp-lt11 Ab'!$F$19:$F$56</c:f>
              <c:numCache>
                <c:formatCode>0</c:formatCode>
                <c:ptCount val="38"/>
                <c:pt idx="0">
                  <c:v>125.11969336901905</c:v>
                </c:pt>
                <c:pt idx="1">
                  <c:v>126.20234235971989</c:v>
                </c:pt>
                <c:pt idx="2">
                  <c:v>114.44444444444446</c:v>
                </c:pt>
                <c:pt idx="3">
                  <c:v>137.88118071403269</c:v>
                </c:pt>
                <c:pt idx="4">
                  <c:v>139.44135139066745</c:v>
                </c:pt>
                <c:pt idx="5">
                  <c:v>141.18483685817955</c:v>
                </c:pt>
                <c:pt idx="6">
                  <c:v>123.29383510475006</c:v>
                </c:pt>
                <c:pt idx="7">
                  <c:v>147.9153692242264</c:v>
                </c:pt>
                <c:pt idx="8">
                  <c:v>145.04311572859169</c:v>
                </c:pt>
                <c:pt idx="9">
                  <c:v>142.57144574086243</c:v>
                </c:pt>
                <c:pt idx="10">
                  <c:v>146.19290723426062</c:v>
                </c:pt>
                <c:pt idx="11">
                  <c:v>147.99013531602543</c:v>
                </c:pt>
                <c:pt idx="12">
                  <c:v>146.96704722940638</c:v>
                </c:pt>
                <c:pt idx="13">
                  <c:v>153.03320478819273</c:v>
                </c:pt>
                <c:pt idx="14">
                  <c:v>159.4201022411676</c:v>
                </c:pt>
                <c:pt idx="15">
                  <c:v>149.59241151100537</c:v>
                </c:pt>
                <c:pt idx="16">
                  <c:v>153.15124800919895</c:v>
                </c:pt>
                <c:pt idx="17">
                  <c:v>161.76627129617188</c:v>
                </c:pt>
                <c:pt idx="18">
                  <c:v>160.13329654528516</c:v>
                </c:pt>
                <c:pt idx="19">
                  <c:v>171.47849680229365</c:v>
                </c:pt>
                <c:pt idx="20">
                  <c:v>146.87456568670055</c:v>
                </c:pt>
                <c:pt idx="21">
                  <c:v>168.69093053684168</c:v>
                </c:pt>
                <c:pt idx="22">
                  <c:v>159.60842457686675</c:v>
                </c:pt>
                <c:pt idx="23">
                  <c:v>165.26241083601562</c:v>
                </c:pt>
                <c:pt idx="24">
                  <c:v>165.24034716515655</c:v>
                </c:pt>
                <c:pt idx="25">
                  <c:v>169.74260282977579</c:v>
                </c:pt>
                <c:pt idx="26">
                  <c:v>176.28851991519954</c:v>
                </c:pt>
                <c:pt idx="27">
                  <c:v>172.81564750052269</c:v>
                </c:pt>
                <c:pt idx="28">
                  <c:v>131.910935955903</c:v>
                </c:pt>
                <c:pt idx="29">
                  <c:v>132.71712452672767</c:v>
                </c:pt>
                <c:pt idx="30">
                  <c:v>137.01090050669316</c:v>
                </c:pt>
                <c:pt idx="31">
                  <c:v>148.00883569639737</c:v>
                </c:pt>
                <c:pt idx="32">
                  <c:v>155.60154940032996</c:v>
                </c:pt>
                <c:pt idx="33">
                  <c:v>156.65516714373337</c:v>
                </c:pt>
                <c:pt idx="34">
                  <c:v>161.25462289345276</c:v>
                </c:pt>
                <c:pt idx="35">
                  <c:v>174.33573383796789</c:v>
                </c:pt>
                <c:pt idx="36">
                  <c:v>174.81487538433817</c:v>
                </c:pt>
                <c:pt idx="37">
                  <c:v>169.10128740257798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E76-497C-88BB-08436D029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531696"/>
        <c:axId val="560528088"/>
      </c:scatterChart>
      <c:valAx>
        <c:axId val="5605316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28088"/>
        <c:crosses val="autoZero"/>
        <c:crossBetween val="midCat"/>
      </c:valAx>
      <c:valAx>
        <c:axId val="56052808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053169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670426097727882"/>
          <c:y val="0.17996615905245347"/>
          <c:w val="0.65589199864868375"/>
          <c:h val="0.50991113420467116"/>
        </c:manualLayout>
      </c:layout>
      <c:barChart>
        <c:barDir val="col"/>
        <c:grouping val="clustered"/>
        <c:varyColors val="0"/>
        <c:ser>
          <c:idx val="0"/>
          <c:order val="0"/>
          <c:tx>
            <c:v>nAb LSP AR (R.S. intact)</c:v>
          </c:tx>
          <c:spPr>
            <a:solidFill>
              <a:schemeClr val="accent1">
                <a:lumMod val="75000"/>
              </a:schemeClr>
            </a:solidFill>
            <a:ln>
              <a:solidFill>
                <a:schemeClr val="accent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'fbp-lt25 nAb'!$F$13</c:f>
                <c:numCache>
                  <c:formatCode>General</c:formatCode>
                  <c:ptCount val="1"/>
                  <c:pt idx="0">
                    <c:v>12.760883645877019</c:v>
                  </c:pt>
                </c:numCache>
              </c:numRef>
            </c:plus>
            <c:minus>
              <c:numRef>
                <c:f>'fbp-lt25 nAb'!$F$13</c:f>
                <c:numCache>
                  <c:formatCode>General</c:formatCode>
                  <c:ptCount val="1"/>
                  <c:pt idx="0">
                    <c:v>12.760883645877019</c:v>
                  </c:pt>
                </c:numCache>
              </c:numRef>
            </c:minus>
            <c:spPr>
              <a:noFill/>
              <a:ln w="19050"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Average Vickers micro-hardness</c:v>
              </c:pt>
            </c:strLit>
          </c:cat>
          <c:val>
            <c:numRef>
              <c:f>'fbp-lt25 nAb'!$F$12</c:f>
              <c:numCache>
                <c:formatCode>0</c:formatCode>
                <c:ptCount val="1"/>
                <c:pt idx="0">
                  <c:v>175.87901674622773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0-4190-AEA6-7F9A080DD731}"/>
            </c:ext>
          </c:extLst>
        </c:ser>
        <c:ser>
          <c:idx val="1"/>
          <c:order val="1"/>
          <c:tx>
            <c:v>Ab LSP AR (R.S. intact)</c:v>
          </c:tx>
          <c:spPr>
            <a:solidFill>
              <a:schemeClr val="accent2"/>
            </a:solidFill>
            <a:ln>
              <a:solidFill>
                <a:schemeClr val="accent2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'fbp-lt11 Ab'!$F$13</c:f>
                <c:numCache>
                  <c:formatCode>General</c:formatCode>
                  <c:ptCount val="1"/>
                  <c:pt idx="0">
                    <c:v>7.3024191919861003</c:v>
                  </c:pt>
                </c:numCache>
              </c:numRef>
            </c:plus>
            <c:minus>
              <c:numRef>
                <c:f>'fbp-lt11 Ab'!$F$13</c:f>
                <c:numCache>
                  <c:formatCode>General</c:formatCode>
                  <c:ptCount val="1"/>
                  <c:pt idx="0">
                    <c:v>7.3024191919861003</c:v>
                  </c:pt>
                </c:numCache>
              </c:numRef>
            </c:minus>
            <c:spPr>
              <a:noFill/>
              <a:ln w="19050"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Average Vickers micro-hardness</c:v>
              </c:pt>
            </c:strLit>
          </c:cat>
          <c:val>
            <c:numRef>
              <c:f>'fbp-lt11 Ab'!$F$12</c:f>
              <c:numCache>
                <c:formatCode>0</c:formatCode>
                <c:ptCount val="1"/>
                <c:pt idx="0">
                  <c:v>188.20170885819371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D0-4190-AEA6-7F9A080DD731}"/>
            </c:ext>
          </c:extLst>
        </c:ser>
        <c:ser>
          <c:idx val="2"/>
          <c:order val="2"/>
          <c:tx>
            <c:v>nAb LSP AR (cut)</c:v>
          </c:tx>
          <c:spPr>
            <a:solidFill>
              <a:schemeClr val="accent1">
                <a:lumMod val="60000"/>
                <a:lumOff val="40000"/>
              </a:schemeClr>
            </a:solidFill>
            <a:ln>
              <a:solidFill>
                <a:schemeClr val="accent3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'nAb LSP'!$F$16</c:f>
                <c:numCache>
                  <c:formatCode>General</c:formatCode>
                  <c:ptCount val="1"/>
                  <c:pt idx="0">
                    <c:v>13.76921064980816</c:v>
                  </c:pt>
                </c:numCache>
              </c:numRef>
            </c:plus>
            <c:minus>
              <c:numRef>
                <c:f>'nAb LSP'!$F$16</c:f>
                <c:numCache>
                  <c:formatCode>General</c:formatCode>
                  <c:ptCount val="1"/>
                  <c:pt idx="0">
                    <c:v>13.76921064980816</c:v>
                  </c:pt>
                </c:numCache>
              </c:numRef>
            </c:minus>
            <c:spPr>
              <a:noFill/>
              <a:ln w="19050"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Average Vickers micro-hardness</c:v>
              </c:pt>
            </c:strLit>
          </c:cat>
          <c:val>
            <c:numRef>
              <c:f>'nAb LSP'!$F$15</c:f>
              <c:numCache>
                <c:formatCode>0</c:formatCode>
                <c:ptCount val="1"/>
                <c:pt idx="0">
                  <c:v>171.30283365067828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D0-4190-AEA6-7F9A080DD731}"/>
            </c:ext>
          </c:extLst>
        </c:ser>
        <c:ser>
          <c:idx val="3"/>
          <c:order val="3"/>
          <c:tx>
            <c:v>Ab LSP AR (cut)</c:v>
          </c:tx>
          <c:spPr>
            <a:solidFill>
              <a:schemeClr val="accent4"/>
            </a:solidFill>
            <a:ln>
              <a:solidFill>
                <a:schemeClr val="accent4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'ab lsp'!$F$15</c:f>
                <c:numCache>
                  <c:formatCode>General</c:formatCode>
                  <c:ptCount val="1"/>
                  <c:pt idx="0">
                    <c:v>9.0528296773502532</c:v>
                  </c:pt>
                </c:numCache>
              </c:numRef>
            </c:plus>
            <c:minus>
              <c:numRef>
                <c:f>'ab lsp'!$F$15</c:f>
                <c:numCache>
                  <c:formatCode>General</c:formatCode>
                  <c:ptCount val="1"/>
                  <c:pt idx="0">
                    <c:v>9.0528296773502532</c:v>
                  </c:pt>
                </c:numCache>
              </c:numRef>
            </c:minus>
            <c:spPr>
              <a:noFill/>
              <a:ln w="19050"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Average Vickers micro-hardness</c:v>
              </c:pt>
            </c:strLit>
          </c:cat>
          <c:val>
            <c:numRef>
              <c:f>'ab lsp'!$F$14</c:f>
              <c:numCache>
                <c:formatCode>0</c:formatCode>
                <c:ptCount val="1"/>
                <c:pt idx="0">
                  <c:v>175.28955233312087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D0-4190-AEA6-7F9A080DD731}"/>
            </c:ext>
          </c:extLst>
        </c:ser>
        <c:ser>
          <c:idx val="4"/>
          <c:order val="4"/>
          <c:tx>
            <c:v>Baseline 1200 SiC surface finish</c:v>
          </c:tx>
          <c:spPr>
            <a:solidFill>
              <a:schemeClr val="bg1">
                <a:lumMod val="50000"/>
              </a:schemeClr>
            </a:solidFill>
            <a:ln>
              <a:solidFill>
                <a:schemeClr val="accent5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'new base1200Sic'!$F$16</c:f>
                <c:numCache>
                  <c:formatCode>General</c:formatCode>
                  <c:ptCount val="1"/>
                  <c:pt idx="0">
                    <c:v>4.1702464392726037</c:v>
                  </c:pt>
                </c:numCache>
              </c:numRef>
            </c:plus>
            <c:minus>
              <c:numRef>
                <c:f>'new base1200Sic'!$F$16</c:f>
                <c:numCache>
                  <c:formatCode>General</c:formatCode>
                  <c:ptCount val="1"/>
                  <c:pt idx="0">
                    <c:v>4.1702464392726037</c:v>
                  </c:pt>
                </c:numCache>
              </c:numRef>
            </c:minus>
            <c:spPr>
              <a:noFill/>
              <a:ln w="19050">
                <a:solidFill>
                  <a:schemeClr val="tx1"/>
                </a:solidFill>
              </a:ln>
              <a:effectLst/>
            </c:spPr>
          </c:errBars>
          <c:cat>
            <c:strLit>
              <c:ptCount val="1"/>
              <c:pt idx="0">
                <c:v>Average Vickers micro-hardness</c:v>
              </c:pt>
            </c:strLit>
          </c:cat>
          <c:val>
            <c:numRef>
              <c:f>'new base1200Sic'!$F$15</c:f>
              <c:numCache>
                <c:formatCode>0.00</c:formatCode>
                <c:ptCount val="1"/>
                <c:pt idx="0">
                  <c:v>170.45956136033948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D0-4190-AEA6-7F9A080DD7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19875112"/>
        <c:axId val="519870192"/>
      </c:barChart>
      <c:catAx>
        <c:axId val="519875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0192"/>
        <c:crosses val="autoZero"/>
        <c:auto val="1"/>
        <c:lblAlgn val="ctr"/>
        <c:lblOffset val="100"/>
        <c:noMultiLvlLbl val="0"/>
      </c:catAx>
      <c:valAx>
        <c:axId val="519870192"/>
        <c:scaling>
          <c:orientation val="minMax"/>
          <c:max val="200"/>
          <c:min val="1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9875112"/>
        <c:crosses val="autoZero"/>
        <c:crossBetween val="between"/>
        <c:majorUnit val="10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16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9841885637790252E-2"/>
          <c:y val="4.2493296100258905E-2"/>
          <c:w val="0.6926793496491096"/>
          <c:h val="0.81689882924262736"/>
        </c:manualLayout>
      </c:layout>
      <c:scatterChart>
        <c:scatterStyle val="lineMarker"/>
        <c:varyColors val="0"/>
        <c:ser>
          <c:idx val="0"/>
          <c:order val="0"/>
          <c:tx>
            <c:strRef>
              <c:f>'new base1 um'!$A$1</c:f>
              <c:strCache>
                <c:ptCount val="1"/>
                <c:pt idx="0">
                  <c:v>AA7075-lt 1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'new base1 um'!$G$19:$G$26</c:f>
              <c:numCache>
                <c:formatCode>General</c:formatCode>
                <c:ptCount val="8"/>
                <c:pt idx="0">
                  <c:v>240</c:v>
                </c:pt>
                <c:pt idx="1">
                  <c:v>447</c:v>
                </c:pt>
                <c:pt idx="2">
                  <c:v>674</c:v>
                </c:pt>
                <c:pt idx="3">
                  <c:v>1003</c:v>
                </c:pt>
                <c:pt idx="4">
                  <c:v>1303</c:v>
                </c:pt>
                <c:pt idx="5">
                  <c:v>1498</c:v>
                </c:pt>
                <c:pt idx="6">
                  <c:v>5000</c:v>
                </c:pt>
                <c:pt idx="7">
                  <c:v>5000</c:v>
                </c:pt>
              </c:numCache>
            </c:numRef>
          </c:xVal>
          <c:yVal>
            <c:numRef>
              <c:f>'new base1 um'!$F$19:$F$26</c:f>
              <c:numCache>
                <c:formatCode>General</c:formatCode>
                <c:ptCount val="8"/>
                <c:pt idx="0">
                  <c:v>160.36506076771892</c:v>
                </c:pt>
                <c:pt idx="1">
                  <c:v>163.81563186810456</c:v>
                </c:pt>
                <c:pt idx="2">
                  <c:v>164.60241784171953</c:v>
                </c:pt>
                <c:pt idx="3">
                  <c:v>162.79690062799909</c:v>
                </c:pt>
                <c:pt idx="4">
                  <c:v>168.21406595404062</c:v>
                </c:pt>
                <c:pt idx="5">
                  <c:v>163.61981680616972</c:v>
                </c:pt>
                <c:pt idx="6">
                  <c:v>166.59436120948965</c:v>
                </c:pt>
                <c:pt idx="7">
                  <c:v>169.71963593160777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41D-4F9B-A0EF-A9D8AFD9E068}"/>
            </c:ext>
          </c:extLst>
        </c:ser>
        <c:ser>
          <c:idx val="1"/>
          <c:order val="1"/>
          <c:tx>
            <c:strRef>
              <c:f>'ab lsp'!$A$1</c:f>
              <c:strCache>
                <c:ptCount val="1"/>
                <c:pt idx="0">
                  <c:v>AA7075-Ab104 AR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'ab lsp'!$G$19:$G$33</c:f>
              <c:numCache>
                <c:formatCode>General</c:formatCode>
                <c:ptCount val="15"/>
                <c:pt idx="0">
                  <c:v>176</c:v>
                </c:pt>
                <c:pt idx="1">
                  <c:v>187</c:v>
                </c:pt>
                <c:pt idx="2">
                  <c:v>391</c:v>
                </c:pt>
                <c:pt idx="3">
                  <c:v>558</c:v>
                </c:pt>
                <c:pt idx="4">
                  <c:v>764</c:v>
                </c:pt>
                <c:pt idx="5">
                  <c:v>976</c:v>
                </c:pt>
                <c:pt idx="6">
                  <c:v>1181</c:v>
                </c:pt>
                <c:pt idx="7">
                  <c:v>1418</c:v>
                </c:pt>
                <c:pt idx="8">
                  <c:v>1778</c:v>
                </c:pt>
                <c:pt idx="9">
                  <c:v>2030</c:v>
                </c:pt>
                <c:pt idx="10">
                  <c:v>2322</c:v>
                </c:pt>
                <c:pt idx="11">
                  <c:v>2595</c:v>
                </c:pt>
                <c:pt idx="12">
                  <c:v>5000</c:v>
                </c:pt>
                <c:pt idx="13">
                  <c:v>5000</c:v>
                </c:pt>
                <c:pt idx="14">
                  <c:v>5000</c:v>
                </c:pt>
              </c:numCache>
            </c:numRef>
          </c:xVal>
          <c:yVal>
            <c:numRef>
              <c:f>'ab lsp'!$F$19:$F$33</c:f>
              <c:numCache>
                <c:formatCode>General</c:formatCode>
                <c:ptCount val="15"/>
                <c:pt idx="0">
                  <c:v>151.56910753603773</c:v>
                </c:pt>
                <c:pt idx="1">
                  <c:v>166.05965548022456</c:v>
                </c:pt>
                <c:pt idx="2">
                  <c:v>164.12093250026055</c:v>
                </c:pt>
                <c:pt idx="3">
                  <c:v>167.37878183058726</c:v>
                </c:pt>
                <c:pt idx="4">
                  <c:v>167.26638296068728</c:v>
                </c:pt>
                <c:pt idx="5">
                  <c:v>165.92638128376194</c:v>
                </c:pt>
                <c:pt idx="6">
                  <c:v>168.19140857238406</c:v>
                </c:pt>
                <c:pt idx="7">
                  <c:v>165.59389688419813</c:v>
                </c:pt>
                <c:pt idx="8">
                  <c:v>169.55899808081892</c:v>
                </c:pt>
                <c:pt idx="9">
                  <c:v>170.31829379469318</c:v>
                </c:pt>
                <c:pt idx="10">
                  <c:v>167.55885581630949</c:v>
                </c:pt>
                <c:pt idx="11">
                  <c:v>167.71665904199659</c:v>
                </c:pt>
                <c:pt idx="12">
                  <c:v>164.53663607882677</c:v>
                </c:pt>
                <c:pt idx="13">
                  <c:v>164.05543912889289</c:v>
                </c:pt>
                <c:pt idx="14">
                  <c:v>161.14833503891407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941D-4F9B-A0EF-A9D8AFD9E068}"/>
            </c:ext>
          </c:extLst>
        </c:ser>
        <c:ser>
          <c:idx val="2"/>
          <c:order val="2"/>
          <c:tx>
            <c:strRef>
              <c:f>'nAb LSP'!$A$17</c:f>
              <c:strCache>
                <c:ptCount val="1"/>
                <c:pt idx="0">
                  <c:v>AA7075-fpb-lt26-2 1 um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'nAb LSP'!$G$20:$G$37</c:f>
              <c:numCache>
                <c:formatCode>General</c:formatCode>
                <c:ptCount val="18"/>
                <c:pt idx="0">
                  <c:v>46.78</c:v>
                </c:pt>
                <c:pt idx="1">
                  <c:v>44.07</c:v>
                </c:pt>
                <c:pt idx="2">
                  <c:v>54.24</c:v>
                </c:pt>
                <c:pt idx="3">
                  <c:v>55.25</c:v>
                </c:pt>
                <c:pt idx="4">
                  <c:v>51.53</c:v>
                </c:pt>
                <c:pt idx="5">
                  <c:v>160.68</c:v>
                </c:pt>
                <c:pt idx="6">
                  <c:v>361.92</c:v>
                </c:pt>
                <c:pt idx="7">
                  <c:v>574</c:v>
                </c:pt>
                <c:pt idx="8">
                  <c:v>751</c:v>
                </c:pt>
                <c:pt idx="9">
                  <c:v>964</c:v>
                </c:pt>
                <c:pt idx="10">
                  <c:v>1119</c:v>
                </c:pt>
                <c:pt idx="11">
                  <c:v>1309</c:v>
                </c:pt>
                <c:pt idx="12">
                  <c:v>1491</c:v>
                </c:pt>
                <c:pt idx="13">
                  <c:v>1674</c:v>
                </c:pt>
                <c:pt idx="14">
                  <c:v>1865</c:v>
                </c:pt>
                <c:pt idx="15">
                  <c:v>5900</c:v>
                </c:pt>
                <c:pt idx="16">
                  <c:v>8248</c:v>
                </c:pt>
                <c:pt idx="17">
                  <c:v>8486</c:v>
                </c:pt>
              </c:numCache>
            </c:numRef>
          </c:xVal>
          <c:yVal>
            <c:numRef>
              <c:f>'nAb LSP'!$F$20:$F$37</c:f>
              <c:numCache>
                <c:formatCode>0</c:formatCode>
                <c:ptCount val="18"/>
                <c:pt idx="0">
                  <c:v>156.22838324571762</c:v>
                </c:pt>
                <c:pt idx="1">
                  <c:v>142.16564905251656</c:v>
                </c:pt>
                <c:pt idx="2">
                  <c:v>165.81544197533657</c:v>
                </c:pt>
                <c:pt idx="3">
                  <c:v>170.41067607995387</c:v>
                </c:pt>
                <c:pt idx="4">
                  <c:v>163.81563186810456</c:v>
                </c:pt>
                <c:pt idx="5">
                  <c:v>166.2821362370081</c:v>
                </c:pt>
                <c:pt idx="6">
                  <c:v>176.1427466138945</c:v>
                </c:pt>
                <c:pt idx="7">
                  <c:v>166.86268306851238</c:v>
                </c:pt>
                <c:pt idx="8">
                  <c:v>172.74488183772564</c:v>
                </c:pt>
                <c:pt idx="9">
                  <c:v>168.05556036476867</c:v>
                </c:pt>
                <c:pt idx="10">
                  <c:v>177.97800057517424</c:v>
                </c:pt>
                <c:pt idx="11">
                  <c:v>177.87939780666451</c:v>
                </c:pt>
                <c:pt idx="12">
                  <c:v>175.41658517735252</c:v>
                </c:pt>
                <c:pt idx="13">
                  <c:v>173.59694819561352</c:v>
                </c:pt>
                <c:pt idx="14">
                  <c:v>158.00793347266017</c:v>
                </c:pt>
                <c:pt idx="15">
                  <c:v>166.48275141715072</c:v>
                </c:pt>
                <c:pt idx="16">
                  <c:v>168.50902902098127</c:v>
                </c:pt>
                <c:pt idx="17">
                  <c:v>165.19623307680871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941D-4F9B-A0EF-A9D8AFD9E068}"/>
            </c:ext>
          </c:extLst>
        </c:ser>
        <c:ser>
          <c:idx val="3"/>
          <c:order val="3"/>
          <c:tx>
            <c:strRef>
              <c:f>'fbp-lt11 Ab'!$D$1</c:f>
              <c:strCache>
                <c:ptCount val="1"/>
                <c:pt idx="0">
                  <c:v>Ab uncut AR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'fbp-lt11 Ab'!$G$19:$G$56</c:f>
              <c:numCache>
                <c:formatCode>0</c:formatCode>
                <c:ptCount val="38"/>
                <c:pt idx="0">
                  <c:v>214</c:v>
                </c:pt>
                <c:pt idx="1">
                  <c:v>147</c:v>
                </c:pt>
                <c:pt idx="2">
                  <c:v>219</c:v>
                </c:pt>
                <c:pt idx="3">
                  <c:v>285.45999999999998</c:v>
                </c:pt>
                <c:pt idx="4">
                  <c:v>343</c:v>
                </c:pt>
                <c:pt idx="5">
                  <c:v>383</c:v>
                </c:pt>
                <c:pt idx="6">
                  <c:v>473</c:v>
                </c:pt>
                <c:pt idx="7">
                  <c:v>558</c:v>
                </c:pt>
                <c:pt idx="8">
                  <c:v>616</c:v>
                </c:pt>
                <c:pt idx="9">
                  <c:v>704</c:v>
                </c:pt>
                <c:pt idx="10">
                  <c:v>781</c:v>
                </c:pt>
                <c:pt idx="11">
                  <c:v>843</c:v>
                </c:pt>
                <c:pt idx="12">
                  <c:v>879</c:v>
                </c:pt>
                <c:pt idx="13">
                  <c:v>927.8</c:v>
                </c:pt>
                <c:pt idx="14">
                  <c:v>972</c:v>
                </c:pt>
                <c:pt idx="15">
                  <c:v>1075</c:v>
                </c:pt>
                <c:pt idx="16">
                  <c:v>1173</c:v>
                </c:pt>
                <c:pt idx="17">
                  <c:v>1276</c:v>
                </c:pt>
                <c:pt idx="18">
                  <c:v>1325</c:v>
                </c:pt>
                <c:pt idx="19">
                  <c:v>1436</c:v>
                </c:pt>
                <c:pt idx="20">
                  <c:v>1525</c:v>
                </c:pt>
                <c:pt idx="21">
                  <c:v>1624</c:v>
                </c:pt>
                <c:pt idx="22">
                  <c:v>1731</c:v>
                </c:pt>
                <c:pt idx="23">
                  <c:v>1824</c:v>
                </c:pt>
                <c:pt idx="24">
                  <c:v>1931</c:v>
                </c:pt>
                <c:pt idx="25">
                  <c:v>2016</c:v>
                </c:pt>
                <c:pt idx="26">
                  <c:v>2100</c:v>
                </c:pt>
                <c:pt idx="27">
                  <c:v>2200</c:v>
                </c:pt>
                <c:pt idx="28">
                  <c:v>94</c:v>
                </c:pt>
                <c:pt idx="29">
                  <c:v>201</c:v>
                </c:pt>
                <c:pt idx="30">
                  <c:v>290</c:v>
                </c:pt>
                <c:pt idx="31">
                  <c:v>540</c:v>
                </c:pt>
                <c:pt idx="32">
                  <c:v>696</c:v>
                </c:pt>
                <c:pt idx="33">
                  <c:v>852</c:v>
                </c:pt>
                <c:pt idx="34">
                  <c:v>1039</c:v>
                </c:pt>
                <c:pt idx="35">
                  <c:v>1293</c:v>
                </c:pt>
                <c:pt idx="36">
                  <c:v>1539</c:v>
                </c:pt>
                <c:pt idx="37">
                  <c:v>1789</c:v>
                </c:pt>
              </c:numCache>
            </c:numRef>
          </c:xVal>
          <c:yVal>
            <c:numRef>
              <c:f>'fbp-lt11 Ab'!$F$19:$F$56</c:f>
              <c:numCache>
                <c:formatCode>0</c:formatCode>
                <c:ptCount val="38"/>
                <c:pt idx="0">
                  <c:v>125.11969336901905</c:v>
                </c:pt>
                <c:pt idx="1">
                  <c:v>126.20234235971989</c:v>
                </c:pt>
                <c:pt idx="2">
                  <c:v>114.44444444444446</c:v>
                </c:pt>
                <c:pt idx="3">
                  <c:v>137.88118071403269</c:v>
                </c:pt>
                <c:pt idx="4">
                  <c:v>139.44135139066745</c:v>
                </c:pt>
                <c:pt idx="5">
                  <c:v>141.18483685817955</c:v>
                </c:pt>
                <c:pt idx="6">
                  <c:v>123.29383510475006</c:v>
                </c:pt>
                <c:pt idx="7">
                  <c:v>147.9153692242264</c:v>
                </c:pt>
                <c:pt idx="8">
                  <c:v>145.04311572859169</c:v>
                </c:pt>
                <c:pt idx="9">
                  <c:v>142.57144574086243</c:v>
                </c:pt>
                <c:pt idx="10">
                  <c:v>146.19290723426062</c:v>
                </c:pt>
                <c:pt idx="11">
                  <c:v>147.99013531602543</c:v>
                </c:pt>
                <c:pt idx="12">
                  <c:v>146.96704722940638</c:v>
                </c:pt>
                <c:pt idx="13">
                  <c:v>153.03320478819273</c:v>
                </c:pt>
                <c:pt idx="14">
                  <c:v>159.4201022411676</c:v>
                </c:pt>
                <c:pt idx="15">
                  <c:v>149.59241151100537</c:v>
                </c:pt>
                <c:pt idx="16">
                  <c:v>153.15124800919895</c:v>
                </c:pt>
                <c:pt idx="17">
                  <c:v>161.76627129617188</c:v>
                </c:pt>
                <c:pt idx="18">
                  <c:v>160.13329654528516</c:v>
                </c:pt>
                <c:pt idx="19">
                  <c:v>171.47849680229365</c:v>
                </c:pt>
                <c:pt idx="20">
                  <c:v>146.87456568670055</c:v>
                </c:pt>
                <c:pt idx="21">
                  <c:v>168.69093053684168</c:v>
                </c:pt>
                <c:pt idx="22">
                  <c:v>159.60842457686675</c:v>
                </c:pt>
                <c:pt idx="23">
                  <c:v>165.26241083601562</c:v>
                </c:pt>
                <c:pt idx="24">
                  <c:v>165.24034716515655</c:v>
                </c:pt>
                <c:pt idx="25">
                  <c:v>169.74260282977579</c:v>
                </c:pt>
                <c:pt idx="26">
                  <c:v>176.28851991519954</c:v>
                </c:pt>
                <c:pt idx="27">
                  <c:v>172.81564750052269</c:v>
                </c:pt>
                <c:pt idx="28">
                  <c:v>131.910935955903</c:v>
                </c:pt>
                <c:pt idx="29">
                  <c:v>132.71712452672767</c:v>
                </c:pt>
                <c:pt idx="30">
                  <c:v>137.01090050669316</c:v>
                </c:pt>
                <c:pt idx="31">
                  <c:v>148.00883569639737</c:v>
                </c:pt>
                <c:pt idx="32">
                  <c:v>155.60154940032996</c:v>
                </c:pt>
                <c:pt idx="33">
                  <c:v>156.65516714373337</c:v>
                </c:pt>
                <c:pt idx="34">
                  <c:v>161.25462289345276</c:v>
                </c:pt>
                <c:pt idx="35">
                  <c:v>174.33573383796789</c:v>
                </c:pt>
                <c:pt idx="36">
                  <c:v>174.81487538433817</c:v>
                </c:pt>
                <c:pt idx="37">
                  <c:v>169.10128740257798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41D-4F9B-A0EF-A9D8AFD9E068}"/>
            </c:ext>
          </c:extLst>
        </c:ser>
        <c:ser>
          <c:idx val="4"/>
          <c:order val="4"/>
          <c:tx>
            <c:strRef>
              <c:f>'fbp-lt25 nAb'!$A$1</c:f>
              <c:strCache>
                <c:ptCount val="1"/>
                <c:pt idx="0">
                  <c:v>nAb uncut AR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'fbp-lt25 nAb'!$G$17:$G$34</c:f>
              <c:numCache>
                <c:formatCode>0</c:formatCode>
                <c:ptCount val="18"/>
                <c:pt idx="0">
                  <c:v>270</c:v>
                </c:pt>
                <c:pt idx="1">
                  <c:v>240</c:v>
                </c:pt>
                <c:pt idx="2">
                  <c:v>673</c:v>
                </c:pt>
                <c:pt idx="3">
                  <c:v>1114</c:v>
                </c:pt>
                <c:pt idx="4">
                  <c:v>1343</c:v>
                </c:pt>
                <c:pt idx="5">
                  <c:v>1294</c:v>
                </c:pt>
                <c:pt idx="6">
                  <c:v>1720</c:v>
                </c:pt>
                <c:pt idx="7">
                  <c:v>2154</c:v>
                </c:pt>
                <c:pt idx="8">
                  <c:v>2583</c:v>
                </c:pt>
                <c:pt idx="9">
                  <c:v>2975</c:v>
                </c:pt>
                <c:pt idx="10">
                  <c:v>3379</c:v>
                </c:pt>
                <c:pt idx="11">
                  <c:v>3776</c:v>
                </c:pt>
                <c:pt idx="12">
                  <c:v>4284</c:v>
                </c:pt>
                <c:pt idx="13">
                  <c:v>4788</c:v>
                </c:pt>
                <c:pt idx="14">
                  <c:v>5334</c:v>
                </c:pt>
                <c:pt idx="15">
                  <c:v>5771</c:v>
                </c:pt>
                <c:pt idx="16">
                  <c:v>6824</c:v>
                </c:pt>
                <c:pt idx="17">
                  <c:v>7820</c:v>
                </c:pt>
              </c:numCache>
            </c:numRef>
          </c:xVal>
          <c:yVal>
            <c:numRef>
              <c:f>'fbp-lt25 nAb'!$F$17:$F$34</c:f>
              <c:numCache>
                <c:formatCode>0</c:formatCode>
                <c:ptCount val="18"/>
                <c:pt idx="0">
                  <c:v>143.51318321854365</c:v>
                </c:pt>
                <c:pt idx="1">
                  <c:v>130.52154674720893</c:v>
                </c:pt>
                <c:pt idx="2">
                  <c:v>150.98934608505411</c:v>
                </c:pt>
                <c:pt idx="3">
                  <c:v>162.55984656314533</c:v>
                </c:pt>
                <c:pt idx="4">
                  <c:v>161.25462289345276</c:v>
                </c:pt>
                <c:pt idx="5">
                  <c:v>160.25965106157904</c:v>
                </c:pt>
                <c:pt idx="6">
                  <c:v>171.22223715465654</c:v>
                </c:pt>
                <c:pt idx="7">
                  <c:v>173.71578916300189</c:v>
                </c:pt>
                <c:pt idx="8">
                  <c:v>169.19268115170169</c:v>
                </c:pt>
                <c:pt idx="9">
                  <c:v>180.92406880313985</c:v>
                </c:pt>
                <c:pt idx="10">
                  <c:v>186.16628930254413</c:v>
                </c:pt>
                <c:pt idx="11">
                  <c:v>180.01756132481745</c:v>
                </c:pt>
                <c:pt idx="12">
                  <c:v>172.76846556162567</c:v>
                </c:pt>
                <c:pt idx="13">
                  <c:v>173.66823813628616</c:v>
                </c:pt>
                <c:pt idx="14">
                  <c:v>188.08044634878198</c:v>
                </c:pt>
                <c:pt idx="15">
                  <c:v>131.53409262227831</c:v>
                </c:pt>
                <c:pt idx="16">
                  <c:v>159.60842457686678</c:v>
                </c:pt>
                <c:pt idx="17">
                  <c:v>174.47926925597542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941D-4F9B-A0EF-A9D8AFD9E0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5334128"/>
        <c:axId val="565335440"/>
      </c:scatterChart>
      <c:valAx>
        <c:axId val="565334128"/>
        <c:scaling>
          <c:orientation val="minMax"/>
          <c:max val="2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Distance from surface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35440"/>
        <c:crosses val="autoZero"/>
        <c:crossBetween val="midCat"/>
      </c:valAx>
      <c:valAx>
        <c:axId val="565335440"/>
        <c:scaling>
          <c:orientation val="minMax"/>
          <c:max val="190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800"/>
                  <a:t>Hardnes (Hv)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8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53341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7391559217744266"/>
          <c:y val="0.49896875155001191"/>
          <c:w val="0.22608440782255734"/>
          <c:h val="0.368854183038804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_xlchart.v1.2</cx:f>
      </cx:numDim>
    </cx:data>
    <cx:data id="1">
      <cx:numDim type="val">
        <cx:f>_xlchart.v1.1</cx:f>
      </cx:numDim>
    </cx:data>
    <cx:data id="2">
      <cx:numDim type="val">
        <cx:f>_xlchart.v1.3</cx:f>
      </cx:numDim>
    </cx:data>
    <cx:data id="3">
      <cx:numDim type="val">
        <cx:f>_xlchart.v1.0</cx:f>
      </cx:numDim>
    </cx:data>
    <cx:data id="4">
      <cx:numDim type="val">
        <cx:f>_xlchart.v1.4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Hardness Values for Baseline and LSP treated surface  (LT plane)</a:t>
            </a:r>
          </a:p>
        </cx:rich>
      </cx:tx>
    </cx:title>
    <cx:plotArea>
      <cx:plotAreaRegion>
        <cx:series layoutId="boxWhisker" uniqueId="{318C8864-47C3-4C9E-9559-508BAA05E645}">
          <cx:tx>
            <cx:txData>
              <cx:v>nAbLSP AR (R.S. intact)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  <cx:series layoutId="boxWhisker" uniqueId="{00000000-F8F4-4D6F-BA3A-E5189F37BC4D}">
          <cx:tx>
            <cx:txData>
              <cx:v>AbLSP AR (R.S. intact)</cx:v>
            </cx:txData>
          </cx:tx>
          <cx:dataId val="1"/>
          <cx:layoutPr>
            <cx:statistics quartileMethod="exclusive"/>
          </cx:layoutPr>
        </cx:series>
        <cx:series layoutId="boxWhisker" uniqueId="{00000001-F8F4-4D6F-BA3A-E5189F37BC4D}">
          <cx:tx>
            <cx:txData>
              <cx:v>nAb LSP AR (cut)</cx:v>
            </cx:txData>
          </cx:tx>
          <cx:spPr>
            <a:solidFill>
              <a:schemeClr val="accent1">
                <a:lumMod val="60000"/>
                <a:lumOff val="40000"/>
              </a:schemeClr>
            </a:solidFill>
          </cx:spPr>
          <cx:dataId val="2"/>
          <cx:layoutPr>
            <cx:statistics quartileMethod="exclusive"/>
          </cx:layoutPr>
        </cx:series>
        <cx:series layoutId="boxWhisker" uniqueId="{00000002-F8F4-4D6F-BA3A-E5189F37BC4D}">
          <cx:tx>
            <cx:txData>
              <cx:v>AbLSP AR (cut)</cx:v>
            </cx:txData>
          </cx:tx>
          <cx:dataId val="3"/>
          <cx:layoutPr>
            <cx:statistics quartileMethod="exclusive"/>
          </cx:layoutPr>
        </cx:series>
        <cx:series layoutId="boxWhisker" uniqueId="{00000003-F8F4-4D6F-BA3A-E5189F37BC4D}">
          <cx:tx>
            <cx:txData>
              <cx:v>Baseline - 1200 SiC surface finish</cx:v>
            </cx:txData>
          </cx:tx>
          <cx:spPr>
            <a:solidFill>
              <a:schemeClr val="bg1">
                <a:lumMod val="85000"/>
              </a:schemeClr>
            </a:solidFill>
            <a:ln>
              <a:solidFill>
                <a:schemeClr val="bg1">
                  <a:lumMod val="50000"/>
                </a:schemeClr>
              </a:solidFill>
            </a:ln>
          </cx:spPr>
          <cx:dataId val="4"/>
          <cx:layoutPr>
            <cx:statistics quartileMethod="exclusive"/>
          </cx:layoutPr>
        </cx:series>
      </cx:plotAreaRegion>
      <cx:axis id="0">
        <cx:catScaling gapWidth="1"/>
        <cx:tickLabels/>
      </cx:axis>
      <cx:axis id="1">
        <cx:valScaling max="210" min="130"/>
        <cx:majorGridlines/>
        <cx:tickLabels/>
      </cx:axis>
    </cx:plotArea>
    <cx:legend pos="r" align="ctr" overlay="0"/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82826</xdr:colOff>
      <xdr:row>14</xdr:row>
      <xdr:rowOff>165653</xdr:rowOff>
    </xdr:from>
    <xdr:to>
      <xdr:col>20</xdr:col>
      <xdr:colOff>240195</xdr:colOff>
      <xdr:row>35</xdr:row>
      <xdr:rowOff>162340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317127</xdr:colOff>
      <xdr:row>1</xdr:row>
      <xdr:rowOff>107203</xdr:rowOff>
    </xdr:from>
    <xdr:to>
      <xdr:col>14</xdr:col>
      <xdr:colOff>602877</xdr:colOff>
      <xdr:row>21</xdr:row>
      <xdr:rowOff>138953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2" name="Chart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</xdr:col>
      <xdr:colOff>374650</xdr:colOff>
      <xdr:row>22</xdr:row>
      <xdr:rowOff>25400</xdr:rowOff>
    </xdr:from>
    <xdr:to>
      <xdr:col>12</xdr:col>
      <xdr:colOff>530411</xdr:colOff>
      <xdr:row>42</xdr:row>
      <xdr:rowOff>95250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381000</xdr:colOff>
      <xdr:row>35</xdr:row>
      <xdr:rowOff>112059</xdr:rowOff>
    </xdr:from>
    <xdr:to>
      <xdr:col>29</xdr:col>
      <xdr:colOff>268942</xdr:colOff>
      <xdr:row>60</xdr:row>
      <xdr:rowOff>127748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workbookViewId="0">
      <selection activeCell="I7" sqref="I7"/>
    </sheetView>
  </sheetViews>
  <sheetFormatPr defaultRowHeight="15" x14ac:dyDescent="0.25"/>
  <cols>
    <col min="1" max="1" width="19.28515625" bestFit="1" customWidth="1"/>
    <col min="2" max="2" width="13.5703125" bestFit="1" customWidth="1"/>
    <col min="3" max="3" width="11.5703125" bestFit="1" customWidth="1"/>
    <col min="4" max="6" width="10.42578125" customWidth="1"/>
    <col min="7" max="7" width="33.42578125" bestFit="1" customWidth="1"/>
    <col min="8" max="8" width="30.28515625" bestFit="1" customWidth="1"/>
    <col min="16" max="16" width="11" bestFit="1" customWidth="1"/>
  </cols>
  <sheetData>
    <row r="1" spans="1:16" x14ac:dyDescent="0.25">
      <c r="A1" t="s">
        <v>0</v>
      </c>
    </row>
    <row r="2" spans="1:16" ht="30" x14ac:dyDescent="0.25">
      <c r="A2" s="2" t="s">
        <v>3</v>
      </c>
      <c r="B2" s="2" t="s">
        <v>4</v>
      </c>
      <c r="C2" s="2" t="s">
        <v>5</v>
      </c>
      <c r="D2" s="2" t="s">
        <v>6</v>
      </c>
      <c r="E2" s="2" t="s">
        <v>18</v>
      </c>
      <c r="F2" s="2" t="s">
        <v>17</v>
      </c>
      <c r="G2" s="2" t="s">
        <v>2</v>
      </c>
    </row>
    <row r="3" spans="1:16" x14ac:dyDescent="0.25">
      <c r="A3" s="1" t="s">
        <v>1</v>
      </c>
      <c r="O3" t="s">
        <v>63</v>
      </c>
      <c r="P3">
        <f>((D4*0.001)/(2^0.5))^2</f>
        <v>5.5865621045000004E-3</v>
      </c>
    </row>
    <row r="4" spans="1:16" x14ac:dyDescent="0.25">
      <c r="A4" t="s">
        <v>9</v>
      </c>
      <c r="B4">
        <v>104.66800000000001</v>
      </c>
      <c r="C4">
        <v>106.738</v>
      </c>
      <c r="D4">
        <f>AVERAGE(B4:C4)</f>
        <v>105.703</v>
      </c>
      <c r="E4">
        <v>1</v>
      </c>
      <c r="F4">
        <f>(1.854*E4)/((D4*0.001)^2)</f>
        <v>165.93389327101499</v>
      </c>
      <c r="G4" t="s">
        <v>7</v>
      </c>
      <c r="O4" t="s">
        <v>64</v>
      </c>
      <c r="P4">
        <f>1*9.81</f>
        <v>9.81</v>
      </c>
    </row>
    <row r="5" spans="1:16" x14ac:dyDescent="0.25">
      <c r="A5" t="s">
        <v>8</v>
      </c>
      <c r="B5">
        <v>104.137</v>
      </c>
      <c r="C5">
        <v>109.994</v>
      </c>
      <c r="D5">
        <f t="shared" ref="D5:D16" si="0">AVERAGE(B5:C5)</f>
        <v>107.0655</v>
      </c>
      <c r="E5">
        <v>1</v>
      </c>
      <c r="F5">
        <f t="shared" ref="F5:F16" si="1">(1.854*E5)/((D5*0.001)^2)</f>
        <v>161.73746458771217</v>
      </c>
      <c r="G5" t="s">
        <v>7</v>
      </c>
      <c r="O5" t="s">
        <v>65</v>
      </c>
      <c r="P5">
        <f>P4/P3</f>
        <v>1755.9994530621975</v>
      </c>
    </row>
    <row r="6" spans="1:16" x14ac:dyDescent="0.25">
      <c r="A6" t="s">
        <v>10</v>
      </c>
      <c r="B6">
        <v>102.771</v>
      </c>
      <c r="C6">
        <v>107.042</v>
      </c>
      <c r="D6">
        <f t="shared" si="0"/>
        <v>104.90649999999999</v>
      </c>
      <c r="E6">
        <v>1</v>
      </c>
      <c r="F6">
        <f t="shared" si="1"/>
        <v>168.4631565834454</v>
      </c>
      <c r="G6" t="s">
        <v>7</v>
      </c>
    </row>
    <row r="7" spans="1:16" x14ac:dyDescent="0.25">
      <c r="E7" t="s">
        <v>20</v>
      </c>
      <c r="F7">
        <f>AVERAGE(F4:F6)</f>
        <v>165.37817148072418</v>
      </c>
      <c r="H7" t="s">
        <v>21</v>
      </c>
      <c r="I7">
        <f>F7/0.3</f>
        <v>551.26057160241396</v>
      </c>
      <c r="O7" t="s">
        <v>66</v>
      </c>
      <c r="P7">
        <f>0.927*P5</f>
        <v>1627.8114929886572</v>
      </c>
    </row>
    <row r="8" spans="1:16" x14ac:dyDescent="0.25">
      <c r="A8" s="1" t="s">
        <v>11</v>
      </c>
      <c r="O8" t="s">
        <v>67</v>
      </c>
      <c r="P8">
        <f>(0.383*P7)-182.3</f>
        <v>441.1518018146557</v>
      </c>
    </row>
    <row r="9" spans="1:16" x14ac:dyDescent="0.25">
      <c r="A9" t="s">
        <v>12</v>
      </c>
      <c r="B9">
        <v>104.745</v>
      </c>
      <c r="C9">
        <v>106.10299999999999</v>
      </c>
      <c r="D9">
        <f t="shared" si="0"/>
        <v>105.42400000000001</v>
      </c>
      <c r="E9">
        <v>1</v>
      </c>
      <c r="F9">
        <f t="shared" si="1"/>
        <v>166.81332899350434</v>
      </c>
      <c r="G9" t="s">
        <v>7</v>
      </c>
    </row>
    <row r="10" spans="1:16" x14ac:dyDescent="0.25">
      <c r="A10" s="3" t="s">
        <v>13</v>
      </c>
      <c r="B10" s="3">
        <v>335.48599999999999</v>
      </c>
      <c r="C10" s="3">
        <v>346.93900000000002</v>
      </c>
      <c r="D10" s="3">
        <f t="shared" si="0"/>
        <v>341.21249999999998</v>
      </c>
      <c r="E10" s="3">
        <v>10</v>
      </c>
      <c r="F10" s="3">
        <f t="shared" si="1"/>
        <v>159.24282164123957</v>
      </c>
      <c r="G10" s="3" t="s">
        <v>14</v>
      </c>
      <c r="H10" s="3" t="s">
        <v>19</v>
      </c>
    </row>
    <row r="11" spans="1:16" x14ac:dyDescent="0.25">
      <c r="A11" t="s">
        <v>15</v>
      </c>
      <c r="B11">
        <v>103.789</v>
      </c>
      <c r="C11">
        <v>103.80200000000001</v>
      </c>
      <c r="D11">
        <f t="shared" si="0"/>
        <v>103.7955</v>
      </c>
      <c r="E11">
        <v>1</v>
      </c>
      <c r="F11">
        <f t="shared" si="1"/>
        <v>172.08882892281923</v>
      </c>
      <c r="G11" t="s">
        <v>7</v>
      </c>
    </row>
    <row r="12" spans="1:16" x14ac:dyDescent="0.25">
      <c r="E12" t="s">
        <v>20</v>
      </c>
      <c r="F12">
        <f>AVERAGE(F9,F11)</f>
        <v>169.45107895816179</v>
      </c>
      <c r="H12" t="s">
        <v>21</v>
      </c>
      <c r="I12">
        <f>F12/0.3</f>
        <v>564.83692986053927</v>
      </c>
    </row>
    <row r="13" spans="1:16" x14ac:dyDescent="0.25">
      <c r="A13" s="1" t="s">
        <v>16</v>
      </c>
    </row>
    <row r="14" spans="1:16" x14ac:dyDescent="0.25">
      <c r="A14" t="s">
        <v>12</v>
      </c>
      <c r="B14">
        <v>105.248</v>
      </c>
      <c r="C14">
        <v>108.252</v>
      </c>
      <c r="D14">
        <f t="shared" si="0"/>
        <v>106.75</v>
      </c>
      <c r="E14">
        <v>1</v>
      </c>
      <c r="F14">
        <f t="shared" si="1"/>
        <v>162.69490865413621</v>
      </c>
      <c r="G14" t="s">
        <v>7</v>
      </c>
    </row>
    <row r="15" spans="1:16" x14ac:dyDescent="0.25">
      <c r="A15" t="s">
        <v>13</v>
      </c>
      <c r="B15">
        <v>108.848</v>
      </c>
      <c r="C15">
        <v>109.81100000000001</v>
      </c>
      <c r="D15">
        <f t="shared" si="0"/>
        <v>109.3295</v>
      </c>
      <c r="E15">
        <v>1</v>
      </c>
      <c r="F15">
        <f t="shared" si="1"/>
        <v>155.10828855978423</v>
      </c>
      <c r="G15" t="s">
        <v>7</v>
      </c>
    </row>
    <row r="16" spans="1:16" x14ac:dyDescent="0.25">
      <c r="A16" t="s">
        <v>12</v>
      </c>
      <c r="B16">
        <v>107.714</v>
      </c>
      <c r="C16">
        <v>109.133</v>
      </c>
      <c r="D16">
        <f t="shared" si="0"/>
        <v>108.42349999999999</v>
      </c>
      <c r="E16">
        <v>1</v>
      </c>
      <c r="F16">
        <f t="shared" si="1"/>
        <v>157.71132654421939</v>
      </c>
      <c r="G16" t="s">
        <v>7</v>
      </c>
    </row>
    <row r="17" spans="1:9" x14ac:dyDescent="0.25">
      <c r="E17" t="s">
        <v>20</v>
      </c>
      <c r="F17">
        <f>AVERAGE(F14:F16)</f>
        <v>158.50484125271328</v>
      </c>
      <c r="H17" t="s">
        <v>21</v>
      </c>
      <c r="I17">
        <f>F17/0.3</f>
        <v>528.34947084237763</v>
      </c>
    </row>
    <row r="19" spans="1:9" x14ac:dyDescent="0.25">
      <c r="A19" s="1" t="s">
        <v>70</v>
      </c>
      <c r="F19" s="1" t="s">
        <v>75</v>
      </c>
    </row>
    <row r="20" spans="1:9" x14ac:dyDescent="0.25">
      <c r="B20" t="s">
        <v>9</v>
      </c>
      <c r="C20" t="s">
        <v>68</v>
      </c>
      <c r="D20" t="s">
        <v>69</v>
      </c>
      <c r="G20" t="s">
        <v>9</v>
      </c>
      <c r="H20" t="s">
        <v>68</v>
      </c>
      <c r="I20" t="s">
        <v>69</v>
      </c>
    </row>
    <row r="21" spans="1:9" x14ac:dyDescent="0.25">
      <c r="A21" t="s">
        <v>63</v>
      </c>
      <c r="B21">
        <f>(D4*0.001/(2^0.5))^2</f>
        <v>5.5865621045000004E-3</v>
      </c>
      <c r="C21">
        <f>(D5*0.001/(2^0.5))^2</f>
        <v>5.7315106451250007E-3</v>
      </c>
      <c r="D21">
        <f>(D6*0.001/(2^0.5))^2</f>
        <v>5.5026868711249982E-3</v>
      </c>
      <c r="F21" t="s">
        <v>63</v>
      </c>
      <c r="G21">
        <f>(D9*0.001/(2^0.5))^2</f>
        <v>5.5571098879999992E-3</v>
      </c>
      <c r="I21">
        <f>(D11*0.001/(2^0.5))^2</f>
        <v>5.3867529101250004E-3</v>
      </c>
    </row>
    <row r="22" spans="1:9" x14ac:dyDescent="0.25">
      <c r="A22" t="s">
        <v>64</v>
      </c>
      <c r="B22">
        <f>1*9.81</f>
        <v>9.81</v>
      </c>
      <c r="C22">
        <f t="shared" ref="C22:D22" si="2">1*9.81</f>
        <v>9.81</v>
      </c>
      <c r="D22">
        <f t="shared" si="2"/>
        <v>9.81</v>
      </c>
      <c r="F22" t="s">
        <v>64</v>
      </c>
      <c r="G22">
        <f>1*9.81</f>
        <v>9.81</v>
      </c>
      <c r="I22">
        <f t="shared" ref="I22" si="3">1*9.81</f>
        <v>9.81</v>
      </c>
    </row>
    <row r="23" spans="1:9" x14ac:dyDescent="0.25">
      <c r="A23" t="s">
        <v>65</v>
      </c>
      <c r="B23">
        <f>B22/B21</f>
        <v>1755.9994530621975</v>
      </c>
      <c r="C23">
        <f t="shared" ref="C23:D23" si="4">C22/C21</f>
        <v>1711.5906446660802</v>
      </c>
      <c r="D23">
        <f t="shared" si="4"/>
        <v>1782.765443455879</v>
      </c>
      <c r="F23" t="s">
        <v>65</v>
      </c>
      <c r="G23">
        <f>G22/G21</f>
        <v>1765.3061029409685</v>
      </c>
      <c r="I23">
        <f t="shared" ref="I23" si="5">I22/I21</f>
        <v>1821.1342089890584</v>
      </c>
    </row>
    <row r="25" spans="1:9" x14ac:dyDescent="0.25">
      <c r="A25" t="s">
        <v>66</v>
      </c>
      <c r="B25">
        <f>0.927*B23</f>
        <v>1627.8114929886572</v>
      </c>
      <c r="C25">
        <f t="shared" ref="C25:D25" si="6">0.927*C23</f>
        <v>1586.6445276054565</v>
      </c>
      <c r="D25">
        <f t="shared" si="6"/>
        <v>1652.6235660835998</v>
      </c>
      <c r="F25" t="s">
        <v>66</v>
      </c>
      <c r="G25">
        <f>0.927*G23</f>
        <v>1636.4387574262778</v>
      </c>
      <c r="I25">
        <f t="shared" ref="I25" si="7">0.927*I23</f>
        <v>1688.1914117328572</v>
      </c>
    </row>
    <row r="27" spans="1:9" x14ac:dyDescent="0.25">
      <c r="A27" t="s">
        <v>67</v>
      </c>
      <c r="B27">
        <f>(0.383*B25)-182.3</f>
        <v>441.1518018146557</v>
      </c>
      <c r="C27">
        <f t="shared" ref="C27:D27" si="8">(0.383*C25)-182.3</f>
        <v>425.38485407288982</v>
      </c>
      <c r="D27">
        <f t="shared" si="8"/>
        <v>450.65482581001874</v>
      </c>
      <c r="F27" t="s">
        <v>67</v>
      </c>
      <c r="G27">
        <f>(0.383*G25)-182.3</f>
        <v>444.45604409426443</v>
      </c>
      <c r="I27">
        <f t="shared" ref="I27" si="9">(0.383*I25)-182.3</f>
        <v>464.27731069368434</v>
      </c>
    </row>
    <row r="28" spans="1:9" x14ac:dyDescent="0.25">
      <c r="A28" t="s">
        <v>71</v>
      </c>
      <c r="B28">
        <f>AVERAGE(B27:D27)</f>
        <v>439.06382723252142</v>
      </c>
      <c r="F28" t="s">
        <v>72</v>
      </c>
      <c r="G28">
        <f>AVERAGE(G27:I27)</f>
        <v>454.36667739397438</v>
      </c>
    </row>
    <row r="30" spans="1:9" x14ac:dyDescent="0.25">
      <c r="A30" s="1" t="s">
        <v>74</v>
      </c>
    </row>
    <row r="31" spans="1:9" x14ac:dyDescent="0.25">
      <c r="B31" t="s">
        <v>9</v>
      </c>
      <c r="C31" t="s">
        <v>68</v>
      </c>
      <c r="D31" t="s">
        <v>69</v>
      </c>
    </row>
    <row r="32" spans="1:9" x14ac:dyDescent="0.25">
      <c r="A32" t="s">
        <v>63</v>
      </c>
      <c r="B32">
        <f>(D14*0.001/(2^0.5))^2</f>
        <v>5.697781249999998E-3</v>
      </c>
      <c r="C32">
        <f>(D15*0.001/(2^0.5))^2</f>
        <v>5.9764697851249987E-3</v>
      </c>
      <c r="D32">
        <f>(D16*0.001/(2^0.5))^2</f>
        <v>5.8778276761249984E-3</v>
      </c>
    </row>
    <row r="33" spans="1:4" x14ac:dyDescent="0.25">
      <c r="A33" t="s">
        <v>64</v>
      </c>
      <c r="B33">
        <f>1*9.81</f>
        <v>9.81</v>
      </c>
      <c r="C33">
        <f t="shared" ref="C33:D33" si="10">1*9.81</f>
        <v>9.81</v>
      </c>
      <c r="D33">
        <f t="shared" si="10"/>
        <v>9.81</v>
      </c>
    </row>
    <row r="34" spans="1:4" x14ac:dyDescent="0.25">
      <c r="A34" t="s">
        <v>65</v>
      </c>
      <c r="B34">
        <f>B33/B32</f>
        <v>1721.722819737947</v>
      </c>
      <c r="C34">
        <f t="shared" ref="C34" si="11">C33/C32</f>
        <v>1641.4372284482022</v>
      </c>
      <c r="D34">
        <f t="shared" ref="D34" si="12">D33/D32</f>
        <v>1668.9839410990212</v>
      </c>
    </row>
    <row r="36" spans="1:4" x14ac:dyDescent="0.25">
      <c r="A36" t="s">
        <v>66</v>
      </c>
      <c r="B36">
        <f>0.927*B34</f>
        <v>1596.0370538970769</v>
      </c>
      <c r="C36">
        <f t="shared" ref="C36:D36" si="13">0.927*C34</f>
        <v>1521.6123107714834</v>
      </c>
      <c r="D36">
        <f t="shared" si="13"/>
        <v>1547.1481133987927</v>
      </c>
    </row>
    <row r="38" spans="1:4" x14ac:dyDescent="0.25">
      <c r="A38" t="s">
        <v>67</v>
      </c>
      <c r="B38">
        <f>(0.383*B36)-182.3</f>
        <v>428.98219164258052</v>
      </c>
      <c r="C38">
        <f t="shared" ref="C38:D38" si="14">(0.383*C36)-182.3</f>
        <v>400.47751502547811</v>
      </c>
      <c r="D38">
        <f t="shared" si="14"/>
        <v>410.25772743173758</v>
      </c>
    </row>
    <row r="39" spans="1:4" x14ac:dyDescent="0.25">
      <c r="A39" t="s">
        <v>73</v>
      </c>
      <c r="B39">
        <f>AVERAGE(B38:D38)</f>
        <v>413.23914469993207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workbookViewId="0">
      <selection activeCell="C15" sqref="C15"/>
    </sheetView>
  </sheetViews>
  <sheetFormatPr defaultRowHeight="15" x14ac:dyDescent="0.25"/>
  <sheetData>
    <row r="1" spans="1:7" x14ac:dyDescent="0.25">
      <c r="A1" t="s">
        <v>113</v>
      </c>
      <c r="F1" t="s">
        <v>117</v>
      </c>
      <c r="G1" t="s">
        <v>119</v>
      </c>
    </row>
    <row r="2" spans="1:7" x14ac:dyDescent="0.25">
      <c r="A2" t="s">
        <v>114</v>
      </c>
      <c r="B2" t="s">
        <v>115</v>
      </c>
      <c r="C2" t="s">
        <v>116</v>
      </c>
    </row>
    <row r="3" spans="1:7" x14ac:dyDescent="0.25">
      <c r="A3">
        <v>68.19</v>
      </c>
      <c r="B3">
        <v>68.88</v>
      </c>
      <c r="C3">
        <v>197.7</v>
      </c>
    </row>
    <row r="4" spans="1:7" x14ac:dyDescent="0.25">
      <c r="A4">
        <v>68.06</v>
      </c>
      <c r="B4">
        <v>68.64</v>
      </c>
      <c r="C4">
        <v>198.4</v>
      </c>
    </row>
    <row r="5" spans="1:7" x14ac:dyDescent="0.25">
      <c r="A5">
        <v>68.39</v>
      </c>
      <c r="B5">
        <v>69.42</v>
      </c>
      <c r="C5">
        <v>195.2</v>
      </c>
    </row>
    <row r="6" spans="1:7" x14ac:dyDescent="0.25">
      <c r="A6">
        <v>68.97</v>
      </c>
      <c r="B6">
        <v>72.62</v>
      </c>
      <c r="C6">
        <v>184</v>
      </c>
    </row>
    <row r="7" spans="1:7" x14ac:dyDescent="0.25">
      <c r="A7">
        <v>68.03</v>
      </c>
      <c r="B7">
        <v>67.56</v>
      </c>
      <c r="C7">
        <v>201.7</v>
      </c>
    </row>
    <row r="8" spans="1:7" x14ac:dyDescent="0.25">
      <c r="A8">
        <v>66.38</v>
      </c>
      <c r="B8">
        <v>64.78</v>
      </c>
      <c r="C8">
        <v>215.5</v>
      </c>
    </row>
    <row r="9" spans="1:7" x14ac:dyDescent="0.25">
      <c r="A9">
        <v>68.319999999999993</v>
      </c>
      <c r="B9">
        <v>68.83</v>
      </c>
      <c r="C9">
        <v>197.1</v>
      </c>
    </row>
    <row r="10" spans="1:7" x14ac:dyDescent="0.25">
      <c r="A10">
        <v>73.44</v>
      </c>
      <c r="B10">
        <v>71.09</v>
      </c>
      <c r="C10">
        <v>177.5</v>
      </c>
    </row>
    <row r="11" spans="1:7" x14ac:dyDescent="0.25">
      <c r="A11">
        <v>79.88</v>
      </c>
      <c r="B11">
        <v>78.989999999999995</v>
      </c>
      <c r="C11">
        <v>146.9</v>
      </c>
      <c r="E11" t="s">
        <v>118</v>
      </c>
    </row>
    <row r="13" spans="1:7" x14ac:dyDescent="0.25">
      <c r="C13">
        <f>AVERAGE(C3:C11)</f>
        <v>190.44444444444446</v>
      </c>
    </row>
    <row r="14" spans="1:7" x14ac:dyDescent="0.25">
      <c r="C14">
        <f>_xlfn.STDEV.P((C3:C11))</f>
        <v>18.386354306695981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C15" sqref="C15"/>
    </sheetView>
  </sheetViews>
  <sheetFormatPr defaultRowHeight="15" x14ac:dyDescent="0.25"/>
  <sheetData>
    <row r="1" spans="1:3" x14ac:dyDescent="0.25">
      <c r="A1" t="s">
        <v>120</v>
      </c>
    </row>
    <row r="2" spans="1:3" x14ac:dyDescent="0.25">
      <c r="A2" t="s">
        <v>114</v>
      </c>
      <c r="B2" t="s">
        <v>115</v>
      </c>
      <c r="C2" t="s">
        <v>121</v>
      </c>
    </row>
    <row r="3" spans="1:3" x14ac:dyDescent="0.25">
      <c r="A3">
        <v>70.2</v>
      </c>
      <c r="B3">
        <v>71.89</v>
      </c>
      <c r="C3">
        <v>183.6</v>
      </c>
    </row>
    <row r="4" spans="1:3" x14ac:dyDescent="0.25">
      <c r="A4">
        <v>69.22</v>
      </c>
      <c r="B4">
        <v>68.97</v>
      </c>
      <c r="C4">
        <v>194.2</v>
      </c>
    </row>
    <row r="5" spans="1:3" x14ac:dyDescent="0.25">
      <c r="A5">
        <v>67.92</v>
      </c>
      <c r="B5">
        <v>70.59</v>
      </c>
      <c r="C5">
        <v>193.3</v>
      </c>
    </row>
    <row r="6" spans="1:3" x14ac:dyDescent="0.25">
      <c r="A6">
        <v>69.63</v>
      </c>
      <c r="B6">
        <v>67.66</v>
      </c>
      <c r="C6">
        <v>196.7</v>
      </c>
    </row>
    <row r="7" spans="1:3" x14ac:dyDescent="0.25">
      <c r="A7">
        <v>67.53</v>
      </c>
      <c r="B7">
        <v>69.36</v>
      </c>
      <c r="C7">
        <v>197.9</v>
      </c>
    </row>
    <row r="8" spans="1:3" x14ac:dyDescent="0.25">
      <c r="A8">
        <v>69.12</v>
      </c>
      <c r="B8">
        <v>69.12</v>
      </c>
      <c r="C8">
        <v>194.2</v>
      </c>
    </row>
    <row r="9" spans="1:3" x14ac:dyDescent="0.25">
      <c r="A9">
        <v>69.86</v>
      </c>
      <c r="B9">
        <v>68.41</v>
      </c>
      <c r="C9">
        <v>193.9</v>
      </c>
    </row>
    <row r="10" spans="1:3" x14ac:dyDescent="0.25">
      <c r="A10">
        <v>70.2</v>
      </c>
      <c r="B10">
        <v>70.099999999999994</v>
      </c>
      <c r="C10">
        <v>188.4</v>
      </c>
    </row>
    <row r="11" spans="1:3" x14ac:dyDescent="0.25">
      <c r="A11">
        <v>69.31</v>
      </c>
      <c r="B11">
        <v>69.31</v>
      </c>
      <c r="C11">
        <v>188.1</v>
      </c>
    </row>
    <row r="13" spans="1:3" x14ac:dyDescent="0.25">
      <c r="C13">
        <f>AVERAGE(C3:C11)</f>
        <v>192.25555555555556</v>
      </c>
    </row>
    <row r="14" spans="1:3" x14ac:dyDescent="0.25">
      <c r="C14">
        <f>STDEV(C3:C11)</f>
        <v>4.6100735111034599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zoomScale="85" zoomScaleNormal="85" workbookViewId="0">
      <selection activeCell="C17" sqref="C17"/>
    </sheetView>
  </sheetViews>
  <sheetFormatPr defaultRowHeight="15" x14ac:dyDescent="0.25"/>
  <cols>
    <col min="1" max="1" width="10.5703125" bestFit="1" customWidth="1"/>
    <col min="2" max="2" width="16.5703125" bestFit="1" customWidth="1"/>
    <col min="3" max="3" width="24.7109375" bestFit="1" customWidth="1"/>
    <col min="4" max="4" width="17" bestFit="1" customWidth="1"/>
  </cols>
  <sheetData>
    <row r="1" spans="1:5" ht="15.75" thickBot="1" x14ac:dyDescent="0.3">
      <c r="A1" s="41" t="s">
        <v>102</v>
      </c>
      <c r="B1" s="42"/>
      <c r="C1" s="42"/>
      <c r="D1" s="42"/>
      <c r="E1" s="43"/>
    </row>
    <row r="2" spans="1:5" ht="15.75" thickBot="1" x14ac:dyDescent="0.3">
      <c r="A2" s="21" t="s">
        <v>88</v>
      </c>
      <c r="B2" s="22" t="s">
        <v>92</v>
      </c>
      <c r="C2" s="22" t="s">
        <v>89</v>
      </c>
      <c r="D2" s="22" t="s">
        <v>43</v>
      </c>
      <c r="E2" s="23" t="s">
        <v>90</v>
      </c>
    </row>
    <row r="3" spans="1:5" x14ac:dyDescent="0.25">
      <c r="A3" s="16" t="s">
        <v>91</v>
      </c>
      <c r="B3" s="4" t="s">
        <v>93</v>
      </c>
      <c r="C3" s="4">
        <f>COUNT('new base1200Sic'!A4:A14)</f>
        <v>11</v>
      </c>
      <c r="D3" s="24">
        <f>'new base1200Sic'!F15</f>
        <v>170.45956136033948</v>
      </c>
      <c r="E3" s="17">
        <f>'new base1200Sic'!F16</f>
        <v>4.1702464392726037</v>
      </c>
    </row>
    <row r="4" spans="1:5" x14ac:dyDescent="0.25">
      <c r="A4" s="16" t="s">
        <v>95</v>
      </c>
      <c r="B4" s="4" t="s">
        <v>94</v>
      </c>
      <c r="C4" s="4">
        <f>COUNT('ab lsp'!A4:A13)</f>
        <v>10</v>
      </c>
      <c r="D4" s="24">
        <f>'ab lsp'!F14</f>
        <v>175.28955233312087</v>
      </c>
      <c r="E4" s="17">
        <f>'ab lsp'!F15</f>
        <v>9.0528296773502532</v>
      </c>
    </row>
    <row r="5" spans="1:5" x14ac:dyDescent="0.25">
      <c r="A5" s="16" t="s">
        <v>96</v>
      </c>
      <c r="B5" s="4" t="s">
        <v>94</v>
      </c>
      <c r="C5" s="4">
        <f>COUNT('nAb LSP'!A4:A14)</f>
        <v>11</v>
      </c>
      <c r="D5" s="24">
        <f>'nAb LSP'!F15</f>
        <v>171.30283365067828</v>
      </c>
      <c r="E5" s="17">
        <f>'nAb LSP'!F16</f>
        <v>13.76921064980816</v>
      </c>
    </row>
    <row r="6" spans="1:5" x14ac:dyDescent="0.25">
      <c r="A6" s="16" t="s">
        <v>105</v>
      </c>
      <c r="B6" s="4" t="s">
        <v>94</v>
      </c>
      <c r="C6" s="4">
        <f>COUNT('fbp-lt11 Ab'!A4:A11)</f>
        <v>8</v>
      </c>
      <c r="D6" s="24">
        <f>'fbp-lt11 Ab'!F12</f>
        <v>188.20170885819371</v>
      </c>
      <c r="E6" s="17">
        <f>'fbp-lt11 Ab'!F13</f>
        <v>7.3024191919861003</v>
      </c>
    </row>
    <row r="7" spans="1:5" x14ac:dyDescent="0.25">
      <c r="A7" s="16" t="s">
        <v>106</v>
      </c>
      <c r="B7" s="4" t="s">
        <v>94</v>
      </c>
      <c r="C7" s="4">
        <f>COUNT('fbp-lt25 nAb'!A4:A11)</f>
        <v>8</v>
      </c>
      <c r="D7" s="24">
        <f>'fbp-lt25 nAb'!F12</f>
        <v>175.87901674622773</v>
      </c>
      <c r="E7" s="17">
        <f>'fbp-lt25 nAb'!F13</f>
        <v>12.760883645877019</v>
      </c>
    </row>
    <row r="8" spans="1:5" ht="15.75" thickBot="1" x14ac:dyDescent="0.3">
      <c r="A8" s="18" t="s">
        <v>91</v>
      </c>
      <c r="B8" s="19" t="s">
        <v>97</v>
      </c>
      <c r="C8" s="19">
        <f>COUNT('new base1 um'!A4:A13)</f>
        <v>10</v>
      </c>
      <c r="D8" s="25">
        <f>'new base1 um'!F14</f>
        <v>157.5440866024274</v>
      </c>
      <c r="E8" s="20">
        <f>'new base1 um'!F15</f>
        <v>2.5190799656397442</v>
      </c>
    </row>
    <row r="10" spans="1:5" ht="15.75" thickBot="1" x14ac:dyDescent="0.3"/>
    <row r="11" spans="1:5" ht="15.75" thickBot="1" x14ac:dyDescent="0.3">
      <c r="A11" s="41" t="s">
        <v>103</v>
      </c>
      <c r="B11" s="42"/>
      <c r="C11" s="42"/>
      <c r="D11" s="42"/>
      <c r="E11" s="43"/>
    </row>
    <row r="12" spans="1:5" ht="15.75" thickBot="1" x14ac:dyDescent="0.3">
      <c r="A12" s="21" t="s">
        <v>88</v>
      </c>
      <c r="B12" s="22" t="s">
        <v>92</v>
      </c>
      <c r="C12" s="22" t="s">
        <v>89</v>
      </c>
      <c r="D12" s="22" t="s">
        <v>43</v>
      </c>
      <c r="E12" s="23" t="s">
        <v>90</v>
      </c>
    </row>
    <row r="13" spans="1:5" x14ac:dyDescent="0.25">
      <c r="A13" s="32" t="s">
        <v>91</v>
      </c>
      <c r="B13" s="33" t="s">
        <v>97</v>
      </c>
      <c r="C13" s="33">
        <f>COUNT('new base1 um'!A19:A26)</f>
        <v>8</v>
      </c>
      <c r="D13" s="34">
        <f>'new base1 um'!F27</f>
        <v>164.96598637585626</v>
      </c>
      <c r="E13" s="35">
        <f>'new base1 um'!F28</f>
        <v>2.8491211179933513</v>
      </c>
    </row>
    <row r="14" spans="1:5" x14ac:dyDescent="0.25">
      <c r="A14" s="16" t="s">
        <v>95</v>
      </c>
      <c r="B14" s="4" t="s">
        <v>97</v>
      </c>
      <c r="C14" s="4">
        <f>COUNT('ab lsp'!A19:A33)</f>
        <v>15</v>
      </c>
      <c r="D14" s="24">
        <f>'ab lsp'!F34</f>
        <v>165.39998426857287</v>
      </c>
      <c r="E14" s="17">
        <f>'ab lsp'!F35</f>
        <v>4.3283151911531768</v>
      </c>
    </row>
    <row r="15" spans="1:5" ht="15.75" thickBot="1" x14ac:dyDescent="0.3">
      <c r="A15" s="18" t="s">
        <v>96</v>
      </c>
      <c r="B15" s="19" t="s">
        <v>97</v>
      </c>
      <c r="C15" s="19">
        <f>COUNT('nAb LSP'!A20:A37)</f>
        <v>18</v>
      </c>
      <c r="D15" s="25">
        <f>'nAb LSP'!F38</f>
        <v>167.3105927269969</v>
      </c>
      <c r="E15" s="20">
        <f>'nAb LSP'!F39</f>
        <v>8.5386254188396471</v>
      </c>
    </row>
  </sheetData>
  <mergeCells count="2">
    <mergeCell ref="A1:E1"/>
    <mergeCell ref="A11:E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P6" sqref="P6"/>
    </sheetView>
  </sheetViews>
  <sheetFormatPr defaultRowHeight="15" x14ac:dyDescent="0.25"/>
  <cols>
    <col min="1" max="1" width="15.140625" bestFit="1" customWidth="1"/>
    <col min="2" max="2" width="11.28515625" bestFit="1" customWidth="1"/>
    <col min="3" max="3" width="7.140625" bestFit="1" customWidth="1"/>
    <col min="4" max="4" width="9.5703125" bestFit="1" customWidth="1"/>
    <col min="5" max="5" width="9.5703125" customWidth="1"/>
    <col min="14" max="14" width="12" bestFit="1" customWidth="1"/>
    <col min="15" max="15" width="12" customWidth="1"/>
    <col min="16" max="16" width="42" customWidth="1"/>
  </cols>
  <sheetData>
    <row r="1" spans="1:16" x14ac:dyDescent="0.25">
      <c r="A1" s="6" t="s">
        <v>44</v>
      </c>
      <c r="B1" s="7" t="s">
        <v>32</v>
      </c>
      <c r="C1" s="38" t="s">
        <v>28</v>
      </c>
      <c r="D1" s="39"/>
      <c r="E1" s="39"/>
      <c r="F1" s="40"/>
      <c r="G1" s="37" t="s">
        <v>34</v>
      </c>
      <c r="H1" s="37"/>
      <c r="I1" s="37"/>
      <c r="J1" s="37"/>
      <c r="K1" s="37" t="s">
        <v>35</v>
      </c>
      <c r="L1" s="37"/>
      <c r="M1" s="37"/>
      <c r="N1" s="37"/>
      <c r="O1" s="10" t="s">
        <v>42</v>
      </c>
      <c r="P1" s="1" t="s">
        <v>2</v>
      </c>
    </row>
    <row r="2" spans="1:16" x14ac:dyDescent="0.25">
      <c r="A2" s="6"/>
      <c r="B2" s="7" t="s">
        <v>32</v>
      </c>
      <c r="C2" s="7" t="s">
        <v>29</v>
      </c>
      <c r="D2" s="7" t="s">
        <v>30</v>
      </c>
      <c r="E2" s="7" t="s">
        <v>20</v>
      </c>
      <c r="F2" s="7" t="s">
        <v>31</v>
      </c>
      <c r="G2" s="7" t="s">
        <v>36</v>
      </c>
      <c r="H2" s="7" t="s">
        <v>30</v>
      </c>
      <c r="I2" s="7" t="s">
        <v>41</v>
      </c>
      <c r="J2" s="7" t="s">
        <v>31</v>
      </c>
      <c r="K2" s="7" t="s">
        <v>36</v>
      </c>
      <c r="L2" s="7" t="s">
        <v>30</v>
      </c>
      <c r="M2" s="7" t="s">
        <v>20</v>
      </c>
      <c r="N2" s="7" t="s">
        <v>31</v>
      </c>
      <c r="O2" s="5" t="s">
        <v>43</v>
      </c>
    </row>
    <row r="3" spans="1:16" x14ac:dyDescent="0.25">
      <c r="A3" s="7" t="s">
        <v>22</v>
      </c>
      <c r="B3" s="6" t="s">
        <v>27</v>
      </c>
      <c r="C3" s="6" t="s">
        <v>33</v>
      </c>
      <c r="D3" s="6" t="s">
        <v>25</v>
      </c>
      <c r="E3" s="6" t="s">
        <v>25</v>
      </c>
      <c r="F3" s="6" t="s">
        <v>25</v>
      </c>
      <c r="G3" s="6"/>
      <c r="H3" s="6" t="s">
        <v>25</v>
      </c>
      <c r="I3" s="6"/>
      <c r="J3" s="6" t="s">
        <v>25</v>
      </c>
      <c r="K3" s="6"/>
      <c r="L3" s="6" t="s">
        <v>25</v>
      </c>
      <c r="M3" s="6"/>
      <c r="N3" s="6" t="s">
        <v>25</v>
      </c>
      <c r="O3" s="11" t="s">
        <v>25</v>
      </c>
      <c r="P3" t="s">
        <v>26</v>
      </c>
    </row>
    <row r="4" spans="1:16" x14ac:dyDescent="0.25">
      <c r="A4" s="7" t="s">
        <v>23</v>
      </c>
      <c r="B4" s="9">
        <f>B17-C17</f>
        <v>3.7142857142857366E-2</v>
      </c>
      <c r="C4" s="6">
        <f>75.787*0.001</f>
        <v>7.5787000000000007E-2</v>
      </c>
      <c r="D4" s="6">
        <f>80.709*0.001</f>
        <v>8.0709000000000003E-2</v>
      </c>
      <c r="E4" s="6">
        <f>AVERAGE(C4:D4)</f>
        <v>7.8248000000000012E-2</v>
      </c>
      <c r="F4" s="6">
        <f>(1.854*K9)/(E4^2)</f>
        <v>151.40256830601831</v>
      </c>
      <c r="G4" s="6">
        <v>7.8022999999999995E-2</v>
      </c>
      <c r="H4" s="6">
        <v>7.8420000000000004E-2</v>
      </c>
      <c r="I4" s="6">
        <f>AVERAGE(G4:H4)</f>
        <v>7.8221499999999999E-2</v>
      </c>
      <c r="J4" s="6">
        <f>(1.854*K9)/(I4^2)</f>
        <v>151.50517047254141</v>
      </c>
      <c r="K4" s="6">
        <v>7.6117000000000004E-2</v>
      </c>
      <c r="L4" s="6">
        <v>7.8117000000000006E-2</v>
      </c>
      <c r="M4" s="6">
        <f>AVERAGE(K4:L4)</f>
        <v>7.7117000000000005E-2</v>
      </c>
      <c r="N4" s="6">
        <f>(1.854*K9)/(M4^2)</f>
        <v>155.87608213264389</v>
      </c>
      <c r="O4" s="4">
        <f>(F4++J4+N4)/3</f>
        <v>152.92794030373454</v>
      </c>
      <c r="P4" t="s">
        <v>45</v>
      </c>
    </row>
    <row r="5" spans="1:16" x14ac:dyDescent="0.25">
      <c r="A5" s="7" t="s">
        <v>24</v>
      </c>
      <c r="B5" s="9">
        <f>B17-D17</f>
        <v>8.8333333333333819E-2</v>
      </c>
      <c r="C5" s="6">
        <v>8.0245999999999998E-2</v>
      </c>
      <c r="D5" s="6">
        <v>8.0104999999999996E-2</v>
      </c>
      <c r="E5" s="6">
        <f>AVERAGE(C5:D5)</f>
        <v>8.0175499999999997E-2</v>
      </c>
      <c r="F5" s="6">
        <f>(1.854*K9)/(E5^2)</f>
        <v>144.21033314546281</v>
      </c>
      <c r="G5" s="6">
        <v>7.3772000000000004E-2</v>
      </c>
      <c r="H5" s="6">
        <v>7.9552999999999999E-2</v>
      </c>
      <c r="I5" s="6">
        <f>AVERAGE(G5:H5)</f>
        <v>7.6662499999999995E-2</v>
      </c>
      <c r="J5" s="6">
        <f>(1.854*K9)/(I5^2)</f>
        <v>157.72980948505213</v>
      </c>
      <c r="K5" s="6">
        <v>7.3214000000000001E-2</v>
      </c>
      <c r="L5" s="6">
        <v>7.9968999999999998E-2</v>
      </c>
      <c r="M5" s="6">
        <f>AVERAGE(K5:L5)</f>
        <v>7.6591500000000007E-2</v>
      </c>
      <c r="N5" s="6">
        <f>(1.854*K9)/(M5^2)</f>
        <v>158.02237477236054</v>
      </c>
      <c r="O5" s="4">
        <f>(F5++J5+N5)/3</f>
        <v>153.32083913429184</v>
      </c>
      <c r="P5" t="s">
        <v>45</v>
      </c>
    </row>
    <row r="6" spans="1:16" x14ac:dyDescent="0.25">
      <c r="E6" s="6"/>
      <c r="F6" s="6"/>
    </row>
    <row r="7" spans="1:16" x14ac:dyDescent="0.25">
      <c r="O7" t="s">
        <v>46</v>
      </c>
    </row>
    <row r="8" spans="1:16" x14ac:dyDescent="0.25">
      <c r="J8" s="1" t="s">
        <v>39</v>
      </c>
      <c r="N8" t="s">
        <v>47</v>
      </c>
      <c r="O8">
        <f>O4/0.3</f>
        <v>509.75980101244852</v>
      </c>
    </row>
    <row r="9" spans="1:16" x14ac:dyDescent="0.25">
      <c r="A9" s="1" t="s">
        <v>37</v>
      </c>
      <c r="B9" s="1" t="s">
        <v>38</v>
      </c>
      <c r="C9" s="1" t="s">
        <v>23</v>
      </c>
      <c r="D9" s="1" t="s">
        <v>24</v>
      </c>
      <c r="E9" s="1"/>
      <c r="J9" t="s">
        <v>18</v>
      </c>
      <c r="K9">
        <v>0.5</v>
      </c>
      <c r="N9" t="s">
        <v>24</v>
      </c>
      <c r="O9">
        <f>O5/0.3</f>
        <v>511.06946378097285</v>
      </c>
    </row>
    <row r="10" spans="1:16" x14ac:dyDescent="0.25">
      <c r="A10" s="1" t="s">
        <v>32</v>
      </c>
      <c r="B10">
        <v>7.9</v>
      </c>
      <c r="C10">
        <v>7.86</v>
      </c>
      <c r="D10">
        <v>7.81</v>
      </c>
      <c r="J10" t="s">
        <v>40</v>
      </c>
      <c r="N10" t="s">
        <v>48</v>
      </c>
      <c r="O10">
        <f>158/0.3</f>
        <v>526.66666666666674</v>
      </c>
    </row>
    <row r="11" spans="1:16" x14ac:dyDescent="0.25">
      <c r="B11">
        <v>7.92</v>
      </c>
      <c r="C11">
        <v>7.86</v>
      </c>
      <c r="D11">
        <v>7.82</v>
      </c>
    </row>
    <row r="12" spans="1:16" x14ac:dyDescent="0.25">
      <c r="B12">
        <v>7.89</v>
      </c>
      <c r="C12">
        <v>7.87</v>
      </c>
      <c r="D12">
        <v>7.82</v>
      </c>
    </row>
    <row r="13" spans="1:16" x14ac:dyDescent="0.25">
      <c r="B13">
        <v>7.89</v>
      </c>
      <c r="C13">
        <v>7.86</v>
      </c>
      <c r="D13">
        <v>7.83</v>
      </c>
    </row>
    <row r="14" spans="1:16" x14ac:dyDescent="0.25">
      <c r="B14">
        <v>7.89</v>
      </c>
      <c r="C14">
        <v>7.86</v>
      </c>
      <c r="D14">
        <v>7.8</v>
      </c>
    </row>
    <row r="15" spans="1:16" x14ac:dyDescent="0.25">
      <c r="B15">
        <v>7.89</v>
      </c>
      <c r="C15">
        <v>7.87</v>
      </c>
      <c r="D15">
        <v>7.79</v>
      </c>
    </row>
    <row r="16" spans="1:16" x14ac:dyDescent="0.25">
      <c r="B16">
        <v>7.92</v>
      </c>
      <c r="C16">
        <v>7.86</v>
      </c>
    </row>
    <row r="17" spans="1:5" x14ac:dyDescent="0.25">
      <c r="A17" t="s">
        <v>20</v>
      </c>
      <c r="B17" s="8">
        <f>AVERAGE(B10:B16)</f>
        <v>7.9</v>
      </c>
      <c r="C17" s="1">
        <f t="shared" ref="C17" si="0">AVERAGE(C10:C16)</f>
        <v>7.862857142857143</v>
      </c>
      <c r="D17" s="8">
        <f>AVERAGE(D10:D15)</f>
        <v>7.8116666666666665</v>
      </c>
      <c r="E17" s="8"/>
    </row>
    <row r="20" spans="1:5" x14ac:dyDescent="0.25">
      <c r="A20" t="s">
        <v>49</v>
      </c>
    </row>
    <row r="21" spans="1:5" x14ac:dyDescent="0.25">
      <c r="A21" t="s">
        <v>50</v>
      </c>
    </row>
  </sheetData>
  <mergeCells count="3">
    <mergeCell ref="G1:J1"/>
    <mergeCell ref="K1:N1"/>
    <mergeCell ref="C1:F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"/>
  <sheetViews>
    <sheetView zoomScale="115" zoomScaleNormal="115" workbookViewId="0">
      <selection activeCell="G5" sqref="G5"/>
    </sheetView>
  </sheetViews>
  <sheetFormatPr defaultRowHeight="15" x14ac:dyDescent="0.25"/>
  <cols>
    <col min="1" max="1" width="18.140625" customWidth="1"/>
  </cols>
  <sheetData>
    <row r="1" spans="1:14" x14ac:dyDescent="0.25">
      <c r="A1" s="1" t="s">
        <v>51</v>
      </c>
    </row>
    <row r="3" spans="1:14" x14ac:dyDescent="0.25">
      <c r="A3" s="6"/>
      <c r="B3" s="7" t="s">
        <v>29</v>
      </c>
      <c r="C3" s="7" t="s">
        <v>30</v>
      </c>
      <c r="D3" s="7" t="s">
        <v>20</v>
      </c>
      <c r="E3" s="7" t="s">
        <v>31</v>
      </c>
    </row>
    <row r="4" spans="1:14" x14ac:dyDescent="0.25">
      <c r="A4" s="7" t="s">
        <v>52</v>
      </c>
      <c r="B4" s="6">
        <f>107.18*0.001</f>
        <v>0.10718000000000001</v>
      </c>
      <c r="C4" s="6">
        <f>102.26*0.001</f>
        <v>0.10226</v>
      </c>
      <c r="D4" s="6">
        <f>AVERAGE(B4:C4)</f>
        <v>0.10472000000000001</v>
      </c>
      <c r="E4" s="6">
        <f>(1.854*J11)/(D4^2)</f>
        <v>169.06373633556484</v>
      </c>
    </row>
    <row r="5" spans="1:14" x14ac:dyDescent="0.25">
      <c r="A5" s="7" t="s">
        <v>53</v>
      </c>
      <c r="B5" s="6">
        <f>106.12*0.001</f>
        <v>0.10612000000000001</v>
      </c>
      <c r="C5" s="6">
        <f>105.91*0.001</f>
        <v>0.10591</v>
      </c>
      <c r="D5" s="6">
        <f>AVERAGE(B5:C5)</f>
        <v>0.106015</v>
      </c>
      <c r="E5" s="6">
        <f>(1.854*J11)/(D5^2)</f>
        <v>164.95865026490401</v>
      </c>
    </row>
    <row r="6" spans="1:14" x14ac:dyDescent="0.25">
      <c r="A6" s="7" t="s">
        <v>54</v>
      </c>
      <c r="B6">
        <f>99.76*0.001</f>
        <v>9.9760000000000001E-2</v>
      </c>
      <c r="C6">
        <f>98.62*0.001</f>
        <v>9.8620000000000013E-2</v>
      </c>
      <c r="D6" s="6">
        <f t="shared" ref="D6:D7" si="0">AVERAGE(B6:C6)</f>
        <v>9.919E-2</v>
      </c>
      <c r="E6" s="6">
        <f>(1.854*J11)/(D6^2)</f>
        <v>188.44037042823359</v>
      </c>
    </row>
    <row r="7" spans="1:14" x14ac:dyDescent="0.25">
      <c r="A7" s="12" t="s">
        <v>55</v>
      </c>
      <c r="B7">
        <f>168.67*0.001</f>
        <v>0.16866999999999999</v>
      </c>
      <c r="C7">
        <f>172.15*0.001</f>
        <v>0.17215</v>
      </c>
      <c r="D7" s="6">
        <f t="shared" si="0"/>
        <v>0.17041000000000001</v>
      </c>
      <c r="E7" s="6">
        <f>(1.854*J11)/(D7^2)</f>
        <v>63.843924731098184</v>
      </c>
    </row>
    <row r="8" spans="1:14" x14ac:dyDescent="0.25">
      <c r="A8" s="13" t="s">
        <v>56</v>
      </c>
      <c r="B8">
        <f>212.1*0.001</f>
        <v>0.21210000000000001</v>
      </c>
      <c r="C8">
        <f>215.9*0.001</f>
        <v>0.21590000000000001</v>
      </c>
      <c r="D8" s="6">
        <f t="shared" ref="D8" si="1">AVERAGE(B8:C8)</f>
        <v>0.21400000000000002</v>
      </c>
      <c r="E8" s="6">
        <f>(1.854*J11)/(D8^2)</f>
        <v>40.483885055463354</v>
      </c>
    </row>
    <row r="9" spans="1:14" x14ac:dyDescent="0.25">
      <c r="A9" s="12" t="s">
        <v>57</v>
      </c>
      <c r="B9">
        <f>106.04*0.001</f>
        <v>0.10604000000000001</v>
      </c>
      <c r="C9">
        <f>104.55*0.001</f>
        <v>0.10455</v>
      </c>
      <c r="D9" s="6">
        <f t="shared" ref="D9:D10" si="2">AVERAGE(B9:C9)</f>
        <v>0.105295</v>
      </c>
      <c r="E9" s="6">
        <f>(1.854*J11)/(D9^2)</f>
        <v>167.2223151974186</v>
      </c>
      <c r="N9" t="s">
        <v>46</v>
      </c>
    </row>
    <row r="10" spans="1:14" x14ac:dyDescent="0.25">
      <c r="A10" s="12" t="s">
        <v>58</v>
      </c>
      <c r="B10">
        <f>107.6*0.001</f>
        <v>0.1076</v>
      </c>
      <c r="C10">
        <f>106.81*0.001</f>
        <v>0.10681</v>
      </c>
      <c r="D10" s="6">
        <f t="shared" si="2"/>
        <v>0.10720499999999999</v>
      </c>
      <c r="E10" s="6">
        <f>(1.854*J11)/(D10^2)</f>
        <v>161.31681822388265</v>
      </c>
      <c r="I10" s="1" t="s">
        <v>39</v>
      </c>
      <c r="M10" t="s">
        <v>47</v>
      </c>
      <c r="N10">
        <f>N6/0.3</f>
        <v>0</v>
      </c>
    </row>
    <row r="11" spans="1:14" x14ac:dyDescent="0.25">
      <c r="A11" s="12" t="s">
        <v>59</v>
      </c>
      <c r="B11">
        <f>103.03*0.001</f>
        <v>0.10303</v>
      </c>
      <c r="C11">
        <f>104.42*0.001</f>
        <v>0.10442</v>
      </c>
      <c r="D11" s="6">
        <f t="shared" ref="D11:D12" si="3">AVERAGE(B11:C11)</f>
        <v>0.103725</v>
      </c>
      <c r="E11" s="6">
        <f>(1.854*J11)/(D11^2)</f>
        <v>172.3228397298254</v>
      </c>
      <c r="I11" t="s">
        <v>18</v>
      </c>
      <c r="J11">
        <v>1</v>
      </c>
      <c r="M11" t="s">
        <v>24</v>
      </c>
      <c r="N11">
        <f>N7/0.3</f>
        <v>0</v>
      </c>
    </row>
    <row r="12" spans="1:14" x14ac:dyDescent="0.25">
      <c r="A12" s="12" t="s">
        <v>60</v>
      </c>
      <c r="B12">
        <f>108.34*0.001</f>
        <v>0.10834000000000001</v>
      </c>
      <c r="C12">
        <f>106.8*0.001</f>
        <v>0.10680000000000001</v>
      </c>
      <c r="D12" s="6">
        <f t="shared" si="3"/>
        <v>0.10757</v>
      </c>
      <c r="E12" s="6">
        <f>(1.854*J11)/(D12^2)</f>
        <v>160.22393464024964</v>
      </c>
      <c r="I12" t="s">
        <v>40</v>
      </c>
      <c r="M12" t="s">
        <v>48</v>
      </c>
      <c r="N12">
        <f>158/0.3</f>
        <v>526.66666666666674</v>
      </c>
    </row>
    <row r="14" spans="1:14" x14ac:dyDescent="0.25">
      <c r="A14" s="12" t="s">
        <v>61</v>
      </c>
      <c r="B14" t="s">
        <v>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zoomScale="115" zoomScaleNormal="115" workbookViewId="0">
      <selection activeCell="K19" sqref="K19"/>
    </sheetView>
  </sheetViews>
  <sheetFormatPr defaultRowHeight="15" x14ac:dyDescent="0.25"/>
  <cols>
    <col min="1" max="1" width="20.140625" bestFit="1" customWidth="1"/>
    <col min="6" max="6" width="10.28515625" customWidth="1"/>
    <col min="8" max="8" width="11.140625" customWidth="1"/>
  </cols>
  <sheetData>
    <row r="1" spans="1:17" x14ac:dyDescent="0.25">
      <c r="A1" t="s">
        <v>79</v>
      </c>
      <c r="B1" t="s">
        <v>80</v>
      </c>
    </row>
    <row r="2" spans="1:17" ht="30" x14ac:dyDescent="0.25">
      <c r="A2" s="2" t="s">
        <v>3</v>
      </c>
      <c r="B2" s="2" t="s">
        <v>4</v>
      </c>
      <c r="C2" s="2" t="s">
        <v>5</v>
      </c>
      <c r="D2" s="2" t="s">
        <v>6</v>
      </c>
      <c r="E2" s="2" t="s">
        <v>18</v>
      </c>
      <c r="F2" s="2" t="s">
        <v>17</v>
      </c>
      <c r="G2" s="2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5" t="s">
        <v>1</v>
      </c>
    </row>
    <row r="4" spans="1:17" x14ac:dyDescent="0.25">
      <c r="A4">
        <v>1</v>
      </c>
      <c r="B4">
        <v>72.790000000000006</v>
      </c>
      <c r="C4">
        <v>74.989999999999995</v>
      </c>
      <c r="D4">
        <f>AVERAGE(B4:C4)</f>
        <v>73.89</v>
      </c>
      <c r="E4">
        <v>0.5</v>
      </c>
      <c r="F4" s="28">
        <f>(1.854*E4)/((D4*0.001)^2)</f>
        <v>169.78855061404937</v>
      </c>
      <c r="G4" t="s">
        <v>76</v>
      </c>
      <c r="M4">
        <f t="shared" ref="M4:M13" si="0">(D4*0.001/(2^0.5))^2</f>
        <v>2.7298660499999999E-3</v>
      </c>
      <c r="N4">
        <f t="shared" ref="N4:N13" si="1">E4*9.81</f>
        <v>4.9050000000000002</v>
      </c>
      <c r="O4">
        <f>N4/M4</f>
        <v>1796.7914579545031</v>
      </c>
      <c r="P4">
        <f>0.927*O4</f>
        <v>1665.6256815238246</v>
      </c>
      <c r="Q4">
        <f>(0.383*P4)-182.3</f>
        <v>455.63463602362486</v>
      </c>
    </row>
    <row r="5" spans="1:17" x14ac:dyDescent="0.25">
      <c r="A5">
        <v>2</v>
      </c>
      <c r="B5">
        <v>71.099999999999994</v>
      </c>
      <c r="C5">
        <v>74.010000000000005</v>
      </c>
      <c r="D5">
        <f t="shared" ref="D5:D20" si="2">AVERAGE(B5:C5)</f>
        <v>72.555000000000007</v>
      </c>
      <c r="E5">
        <v>0.5</v>
      </c>
      <c r="F5" s="28">
        <f t="shared" ref="F5:F20" si="3">(1.854*E5)/((D5*0.001)^2)</f>
        <v>176.09419569168449</v>
      </c>
      <c r="G5" t="s">
        <v>76</v>
      </c>
      <c r="M5">
        <f t="shared" si="0"/>
        <v>2.6321140125000002E-3</v>
      </c>
      <c r="N5">
        <f t="shared" si="1"/>
        <v>4.9050000000000002</v>
      </c>
      <c r="O5">
        <f t="shared" ref="O5:O13" si="4">N5/M5</f>
        <v>1863.5211000382149</v>
      </c>
      <c r="P5">
        <f t="shared" ref="P5:P13" si="5">0.927*O5</f>
        <v>1727.4840597354253</v>
      </c>
      <c r="Q5">
        <f t="shared" ref="Q5:Q13" si="6">(0.383*P5)-182.3</f>
        <v>479.32639487866783</v>
      </c>
    </row>
    <row r="6" spans="1:17" x14ac:dyDescent="0.25">
      <c r="A6">
        <v>3</v>
      </c>
      <c r="B6">
        <v>73.28</v>
      </c>
      <c r="C6">
        <v>74.209999999999994</v>
      </c>
      <c r="D6">
        <f t="shared" si="2"/>
        <v>73.745000000000005</v>
      </c>
      <c r="E6">
        <v>0.5</v>
      </c>
      <c r="F6" s="28">
        <f t="shared" si="3"/>
        <v>170.45689541146905</v>
      </c>
      <c r="G6" t="s">
        <v>76</v>
      </c>
      <c r="M6">
        <f t="shared" si="0"/>
        <v>2.7191625125000001E-3</v>
      </c>
      <c r="N6">
        <f t="shared" si="1"/>
        <v>4.9050000000000002</v>
      </c>
      <c r="O6">
        <f t="shared" si="4"/>
        <v>1803.8642329951583</v>
      </c>
      <c r="P6">
        <f t="shared" si="5"/>
        <v>1672.1821439865118</v>
      </c>
      <c r="Q6">
        <f t="shared" si="6"/>
        <v>458.14576114683399</v>
      </c>
    </row>
    <row r="7" spans="1:17" x14ac:dyDescent="0.25">
      <c r="A7">
        <v>4</v>
      </c>
      <c r="B7">
        <v>73.53</v>
      </c>
      <c r="C7">
        <v>73.61</v>
      </c>
      <c r="D7">
        <f t="shared" si="2"/>
        <v>73.569999999999993</v>
      </c>
      <c r="E7">
        <v>0.5</v>
      </c>
      <c r="F7" s="28">
        <f t="shared" si="3"/>
        <v>171.26878707278715</v>
      </c>
      <c r="G7" t="s">
        <v>76</v>
      </c>
      <c r="M7">
        <f t="shared" si="0"/>
        <v>2.7062724499999995E-3</v>
      </c>
      <c r="N7">
        <f t="shared" si="1"/>
        <v>4.9050000000000002</v>
      </c>
      <c r="O7">
        <f t="shared" si="4"/>
        <v>1812.4560962071653</v>
      </c>
      <c r="P7">
        <f t="shared" si="5"/>
        <v>1680.1468011840423</v>
      </c>
      <c r="Q7">
        <f t="shared" si="6"/>
        <v>461.19622485348822</v>
      </c>
    </row>
    <row r="8" spans="1:17" x14ac:dyDescent="0.25">
      <c r="A8">
        <v>5</v>
      </c>
      <c r="B8">
        <v>72.97</v>
      </c>
      <c r="C8">
        <v>72.760000000000005</v>
      </c>
      <c r="D8">
        <f t="shared" si="2"/>
        <v>72.865000000000009</v>
      </c>
      <c r="E8">
        <v>0.5</v>
      </c>
      <c r="F8" s="28">
        <f t="shared" si="3"/>
        <v>174.59901755845033</v>
      </c>
      <c r="G8" t="s">
        <v>76</v>
      </c>
      <c r="M8">
        <f t="shared" si="0"/>
        <v>2.6546541125000008E-3</v>
      </c>
      <c r="N8">
        <f t="shared" si="1"/>
        <v>4.9050000000000002</v>
      </c>
      <c r="O8">
        <f t="shared" si="4"/>
        <v>1847.6983411525325</v>
      </c>
      <c r="P8">
        <f t="shared" si="5"/>
        <v>1712.8163622483978</v>
      </c>
      <c r="Q8">
        <f t="shared" si="6"/>
        <v>473.70866674113637</v>
      </c>
    </row>
    <row r="9" spans="1:17" x14ac:dyDescent="0.25">
      <c r="A9">
        <v>6</v>
      </c>
      <c r="B9">
        <v>73.31</v>
      </c>
      <c r="C9">
        <v>73.97</v>
      </c>
      <c r="D9">
        <f t="shared" si="2"/>
        <v>73.64</v>
      </c>
      <c r="E9">
        <v>0.5</v>
      </c>
      <c r="F9" s="28">
        <f t="shared" si="3"/>
        <v>170.94333576944493</v>
      </c>
      <c r="G9" t="s">
        <v>76</v>
      </c>
      <c r="M9">
        <f t="shared" si="0"/>
        <v>2.711424799999999E-3</v>
      </c>
      <c r="N9">
        <f t="shared" si="1"/>
        <v>4.9050000000000002</v>
      </c>
      <c r="O9">
        <f t="shared" si="4"/>
        <v>1809.011999890243</v>
      </c>
      <c r="P9">
        <f t="shared" si="5"/>
        <v>1676.9541238982554</v>
      </c>
      <c r="Q9">
        <f t="shared" si="6"/>
        <v>459.97342945303177</v>
      </c>
    </row>
    <row r="10" spans="1:17" x14ac:dyDescent="0.25">
      <c r="A10">
        <v>7</v>
      </c>
      <c r="B10">
        <v>74.86</v>
      </c>
      <c r="C10">
        <v>74.16</v>
      </c>
      <c r="D10">
        <f t="shared" si="2"/>
        <v>74.509999999999991</v>
      </c>
      <c r="E10">
        <v>0.5</v>
      </c>
      <c r="F10" s="28">
        <f t="shared" si="3"/>
        <v>166.9746752013842</v>
      </c>
      <c r="G10" t="s">
        <v>76</v>
      </c>
      <c r="M10">
        <f t="shared" si="0"/>
        <v>2.7758700499999991E-3</v>
      </c>
      <c r="N10">
        <f t="shared" si="1"/>
        <v>4.9050000000000002</v>
      </c>
      <c r="O10">
        <f t="shared" si="4"/>
        <v>1767.0135531020271</v>
      </c>
      <c r="P10">
        <f t="shared" si="5"/>
        <v>1638.0215637255792</v>
      </c>
      <c r="Q10">
        <f t="shared" si="6"/>
        <v>445.06225890689683</v>
      </c>
    </row>
    <row r="11" spans="1:17" x14ac:dyDescent="0.25">
      <c r="A11">
        <v>8</v>
      </c>
      <c r="B11">
        <v>73.55</v>
      </c>
      <c r="C11">
        <v>74.92</v>
      </c>
      <c r="D11">
        <f t="shared" si="2"/>
        <v>74.234999999999999</v>
      </c>
      <c r="E11">
        <v>0.5</v>
      </c>
      <c r="F11" s="28">
        <f t="shared" si="3"/>
        <v>168.21406595404062</v>
      </c>
      <c r="G11" t="s">
        <v>76</v>
      </c>
      <c r="M11">
        <f t="shared" si="0"/>
        <v>2.7554176124999995E-3</v>
      </c>
      <c r="N11">
        <f t="shared" si="1"/>
        <v>4.9050000000000002</v>
      </c>
      <c r="O11">
        <f t="shared" si="4"/>
        <v>1780.1294358243133</v>
      </c>
      <c r="P11">
        <f t="shared" si="5"/>
        <v>1650.1799870091386</v>
      </c>
      <c r="Q11">
        <f t="shared" si="6"/>
        <v>449.71893502450013</v>
      </c>
    </row>
    <row r="12" spans="1:17" x14ac:dyDescent="0.25">
      <c r="A12">
        <v>9</v>
      </c>
      <c r="B12">
        <v>75.290000000000006</v>
      </c>
      <c r="C12">
        <v>76.88</v>
      </c>
      <c r="D12">
        <f t="shared" si="2"/>
        <v>76.085000000000008</v>
      </c>
      <c r="E12">
        <v>0.5</v>
      </c>
      <c r="F12" s="28">
        <f t="shared" si="3"/>
        <v>160.13329654528516</v>
      </c>
      <c r="G12" t="s">
        <v>76</v>
      </c>
      <c r="M12">
        <f t="shared" si="0"/>
        <v>2.8944636125000003E-3</v>
      </c>
      <c r="N12">
        <f t="shared" si="1"/>
        <v>4.9050000000000002</v>
      </c>
      <c r="O12">
        <f t="shared" si="4"/>
        <v>1694.6144974209794</v>
      </c>
      <c r="P12">
        <f t="shared" si="5"/>
        <v>1570.9076391092481</v>
      </c>
      <c r="Q12">
        <f t="shared" si="6"/>
        <v>419.35762577884196</v>
      </c>
    </row>
    <row r="13" spans="1:17" x14ac:dyDescent="0.25">
      <c r="A13">
        <v>10</v>
      </c>
      <c r="B13">
        <v>72.040000000000006</v>
      </c>
      <c r="C13">
        <v>73.91</v>
      </c>
      <c r="D13">
        <f t="shared" si="2"/>
        <v>72.974999999999994</v>
      </c>
      <c r="E13">
        <v>0.5</v>
      </c>
      <c r="F13" s="28">
        <f t="shared" si="3"/>
        <v>174.07304519033431</v>
      </c>
      <c r="G13" t="s">
        <v>76</v>
      </c>
      <c r="M13">
        <f t="shared" si="0"/>
        <v>2.6626753124999992E-3</v>
      </c>
      <c r="N13">
        <f t="shared" si="1"/>
        <v>4.9050000000000002</v>
      </c>
      <c r="O13">
        <f t="shared" si="4"/>
        <v>1842.1322258006257</v>
      </c>
      <c r="P13">
        <f t="shared" si="5"/>
        <v>1707.6565733171801</v>
      </c>
      <c r="Q13">
        <f t="shared" si="6"/>
        <v>471.73246758047998</v>
      </c>
    </row>
    <row r="14" spans="1:17" x14ac:dyDescent="0.25">
      <c r="A14">
        <v>11</v>
      </c>
      <c r="B14">
        <v>72.61</v>
      </c>
      <c r="C14">
        <v>74</v>
      </c>
      <c r="D14">
        <f t="shared" si="2"/>
        <v>73.305000000000007</v>
      </c>
      <c r="E14">
        <v>0.5</v>
      </c>
      <c r="F14" s="28">
        <f t="shared" si="3"/>
        <v>172.50930995480462</v>
      </c>
      <c r="G14" t="s">
        <v>76</v>
      </c>
      <c r="L14" s="1" t="s">
        <v>20</v>
      </c>
      <c r="Q14" s="1">
        <f>AVERAGE(Q4:Q13)</f>
        <v>457.38564003875024</v>
      </c>
    </row>
    <row r="15" spans="1:17" x14ac:dyDescent="0.25">
      <c r="E15" s="1" t="s">
        <v>20</v>
      </c>
      <c r="F15" s="14">
        <f>AVERAGE(F4:F14)</f>
        <v>170.45956136033948</v>
      </c>
      <c r="H15" s="1" t="s">
        <v>21</v>
      </c>
      <c r="I15">
        <f>F15/0.3</f>
        <v>568.19853786779834</v>
      </c>
    </row>
    <row r="16" spans="1:17" x14ac:dyDescent="0.25">
      <c r="E16" s="1" t="s">
        <v>87</v>
      </c>
      <c r="F16" s="14">
        <f>_xlfn.STDEV.P(F4:F14)</f>
        <v>4.1702464392726037</v>
      </c>
      <c r="H16" s="1"/>
    </row>
    <row r="17" spans="1:16" x14ac:dyDescent="0.25">
      <c r="A17" s="1" t="s">
        <v>11</v>
      </c>
    </row>
    <row r="18" spans="1:16" x14ac:dyDescent="0.25">
      <c r="A18" t="s">
        <v>12</v>
      </c>
      <c r="D18" t="e">
        <f t="shared" si="2"/>
        <v>#DIV/0!</v>
      </c>
      <c r="E18">
        <v>0.5</v>
      </c>
      <c r="F18" t="e">
        <f t="shared" si="3"/>
        <v>#DIV/0!</v>
      </c>
      <c r="G18" t="s">
        <v>76</v>
      </c>
    </row>
    <row r="19" spans="1:16" x14ac:dyDescent="0.25">
      <c r="A19" t="s">
        <v>13</v>
      </c>
      <c r="D19" t="e">
        <f t="shared" si="2"/>
        <v>#DIV/0!</v>
      </c>
      <c r="E19">
        <v>0.5</v>
      </c>
      <c r="F19" t="e">
        <f t="shared" si="3"/>
        <v>#DIV/0!</v>
      </c>
      <c r="G19" t="s">
        <v>76</v>
      </c>
    </row>
    <row r="20" spans="1:16" x14ac:dyDescent="0.25">
      <c r="A20" t="s">
        <v>15</v>
      </c>
      <c r="D20" t="e">
        <f t="shared" si="2"/>
        <v>#DIV/0!</v>
      </c>
      <c r="E20">
        <v>0.5</v>
      </c>
      <c r="F20" t="e">
        <f t="shared" si="3"/>
        <v>#DIV/0!</v>
      </c>
      <c r="G20" t="s">
        <v>76</v>
      </c>
    </row>
    <row r="21" spans="1:16" x14ac:dyDescent="0.25">
      <c r="E21" t="s">
        <v>20</v>
      </c>
      <c r="F21" t="e">
        <f>AVERAGE(F18,F20)</f>
        <v>#DIV/0!</v>
      </c>
      <c r="H21" t="s">
        <v>21</v>
      </c>
      <c r="I21" t="e">
        <f>F21/0.3</f>
        <v>#DIV/0!</v>
      </c>
    </row>
    <row r="22" spans="1:16" x14ac:dyDescent="0.25">
      <c r="A22" s="1"/>
      <c r="F22" s="1" t="s">
        <v>75</v>
      </c>
      <c r="P22" s="44">
        <f>(5/170)</f>
        <v>2.9411764705882353E-2</v>
      </c>
    </row>
    <row r="23" spans="1:16" x14ac:dyDescent="0.25">
      <c r="G23" t="s">
        <v>9</v>
      </c>
      <c r="H23" t="s">
        <v>68</v>
      </c>
      <c r="I23" t="s">
        <v>69</v>
      </c>
      <c r="P23" s="44">
        <f>(188-170)/170</f>
        <v>0.10588235294117647</v>
      </c>
    </row>
    <row r="24" spans="1:16" x14ac:dyDescent="0.25">
      <c r="F24" t="s">
        <v>63</v>
      </c>
      <c r="G24" t="e">
        <f>(D18*0.001/(2^0.5))^2</f>
        <v>#DIV/0!</v>
      </c>
      <c r="I24" t="e">
        <f>(D20*0.001/(2^0.5))^2</f>
        <v>#DIV/0!</v>
      </c>
    </row>
    <row r="25" spans="1:16" x14ac:dyDescent="0.25">
      <c r="F25" t="s">
        <v>64</v>
      </c>
      <c r="G25">
        <f>1*9.81</f>
        <v>9.81</v>
      </c>
      <c r="I25">
        <f t="shared" ref="I25" si="7">1*9.81</f>
        <v>9.81</v>
      </c>
    </row>
    <row r="26" spans="1:16" x14ac:dyDescent="0.25">
      <c r="F26" t="s">
        <v>65</v>
      </c>
      <c r="G26" t="e">
        <f>G25/G24</f>
        <v>#DIV/0!</v>
      </c>
      <c r="I26" t="e">
        <f t="shared" ref="I26" si="8">I25/I24</f>
        <v>#DIV/0!</v>
      </c>
    </row>
    <row r="28" spans="1:16" x14ac:dyDescent="0.25">
      <c r="F28" t="s">
        <v>66</v>
      </c>
      <c r="G28" t="e">
        <f>0.927*G26</f>
        <v>#DIV/0!</v>
      </c>
      <c r="I28" t="e">
        <f t="shared" ref="I28" si="9">0.927*I26</f>
        <v>#DIV/0!</v>
      </c>
    </row>
    <row r="30" spans="1:16" x14ac:dyDescent="0.25">
      <c r="F30" t="s">
        <v>67</v>
      </c>
      <c r="G30" t="e">
        <f>(0.383*G28)-182.3</f>
        <v>#DIV/0!</v>
      </c>
      <c r="I30" t="e">
        <f t="shared" ref="I30" si="10">(0.383*I28)-182.3</f>
        <v>#DIV/0!</v>
      </c>
    </row>
    <row r="31" spans="1:16" x14ac:dyDescent="0.25">
      <c r="F31" t="s">
        <v>72</v>
      </c>
      <c r="G31" t="e">
        <f>AVERAGE(G30:I30)</f>
        <v>#DIV/0!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zoomScaleNormal="100" workbookViewId="0">
      <selection activeCell="D37" sqref="D37"/>
    </sheetView>
  </sheetViews>
  <sheetFormatPr defaultRowHeight="15" x14ac:dyDescent="0.25"/>
  <cols>
    <col min="1" max="1" width="20.140625" bestFit="1" customWidth="1"/>
    <col min="6" max="6" width="10.28515625" customWidth="1"/>
    <col min="7" max="7" width="28.7109375" bestFit="1" customWidth="1"/>
  </cols>
  <sheetData>
    <row r="1" spans="1:17" x14ac:dyDescent="0.25">
      <c r="A1" t="s">
        <v>81</v>
      </c>
    </row>
    <row r="2" spans="1:17" ht="30" x14ac:dyDescent="0.25">
      <c r="A2" s="2" t="s">
        <v>3</v>
      </c>
      <c r="B2" s="2" t="s">
        <v>4</v>
      </c>
      <c r="C2" s="2" t="s">
        <v>5</v>
      </c>
      <c r="D2" s="2" t="s">
        <v>6</v>
      </c>
      <c r="E2" s="2" t="s">
        <v>18</v>
      </c>
      <c r="F2" s="2" t="s">
        <v>17</v>
      </c>
      <c r="G2" s="2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" t="s">
        <v>1</v>
      </c>
    </row>
    <row r="4" spans="1:17" x14ac:dyDescent="0.25">
      <c r="A4">
        <v>1</v>
      </c>
      <c r="B4">
        <v>76.459999999999994</v>
      </c>
      <c r="C4">
        <v>77.58</v>
      </c>
      <c r="D4">
        <f>AVERAGE(B4:C4)</f>
        <v>77.02</v>
      </c>
      <c r="E4">
        <v>0.5</v>
      </c>
      <c r="F4" s="28">
        <f>(1.854*E4)/((D4*0.001)^2)</f>
        <v>156.26895414296817</v>
      </c>
      <c r="G4" t="s">
        <v>82</v>
      </c>
      <c r="M4">
        <f t="shared" ref="M4:M13" si="0">(D4*0.001/(2^0.5))^2</f>
        <v>2.9660401999999993E-3</v>
      </c>
      <c r="N4">
        <f t="shared" ref="N4:N13" si="1">E4*9.81</f>
        <v>4.9050000000000002</v>
      </c>
      <c r="O4">
        <f>N4/M4</f>
        <v>1653.7200001537408</v>
      </c>
      <c r="P4">
        <f>0.927*O4</f>
        <v>1532.9984401425179</v>
      </c>
      <c r="Q4">
        <f>(0.383*P4)-182.3</f>
        <v>404.83840257458434</v>
      </c>
    </row>
    <row r="5" spans="1:17" x14ac:dyDescent="0.25">
      <c r="A5">
        <v>2</v>
      </c>
      <c r="B5">
        <v>76.2</v>
      </c>
      <c r="C5">
        <v>77.88</v>
      </c>
      <c r="D5">
        <f t="shared" ref="D5:D13" si="2">AVERAGE(B5:C5)</f>
        <v>77.039999999999992</v>
      </c>
      <c r="E5">
        <v>0.5</v>
      </c>
      <c r="F5" s="28">
        <f t="shared" ref="F5:F26" si="3">(1.854*E5)/((D5*0.001)^2)</f>
        <v>156.18782814607778</v>
      </c>
      <c r="G5" t="s">
        <v>82</v>
      </c>
      <c r="M5">
        <f t="shared" si="0"/>
        <v>2.967580799999999E-3</v>
      </c>
      <c r="N5">
        <f t="shared" si="1"/>
        <v>4.9050000000000002</v>
      </c>
      <c r="O5">
        <f t="shared" ref="O5:O13" si="4">N5/M5</f>
        <v>1652.8614823225712</v>
      </c>
      <c r="P5">
        <f t="shared" ref="P5:P13" si="5">0.927*O5</f>
        <v>1532.2025941130237</v>
      </c>
      <c r="Q5">
        <f t="shared" ref="Q5:Q13" si="6">(0.383*P5)-182.3</f>
        <v>404.53359354528806</v>
      </c>
    </row>
    <row r="6" spans="1:17" x14ac:dyDescent="0.25">
      <c r="A6">
        <v>3</v>
      </c>
      <c r="B6">
        <v>76.27</v>
      </c>
      <c r="C6">
        <v>76.73</v>
      </c>
      <c r="D6">
        <f t="shared" si="2"/>
        <v>76.5</v>
      </c>
      <c r="E6">
        <v>0.5</v>
      </c>
      <c r="F6" s="28">
        <f t="shared" si="3"/>
        <v>158.40061514801999</v>
      </c>
      <c r="G6" t="s">
        <v>82</v>
      </c>
      <c r="M6">
        <f t="shared" si="0"/>
        <v>2.9261249999999995E-3</v>
      </c>
      <c r="N6">
        <f t="shared" si="1"/>
        <v>4.9050000000000002</v>
      </c>
      <c r="O6">
        <f t="shared" si="4"/>
        <v>1676.2783544790468</v>
      </c>
      <c r="P6">
        <f t="shared" si="5"/>
        <v>1553.9100346020764</v>
      </c>
      <c r="Q6">
        <f t="shared" si="6"/>
        <v>412.84754325259524</v>
      </c>
    </row>
    <row r="7" spans="1:17" x14ac:dyDescent="0.25">
      <c r="A7">
        <v>4</v>
      </c>
      <c r="B7">
        <v>75.48</v>
      </c>
      <c r="C7">
        <v>75.44</v>
      </c>
      <c r="D7">
        <f t="shared" si="2"/>
        <v>75.460000000000008</v>
      </c>
      <c r="E7">
        <v>0.5</v>
      </c>
      <c r="F7" s="28">
        <f t="shared" si="3"/>
        <v>162.79690062799909</v>
      </c>
      <c r="M7">
        <f t="shared" si="0"/>
        <v>2.8471058000000011E-3</v>
      </c>
      <c r="N7">
        <f t="shared" si="1"/>
        <v>4.9050000000000002</v>
      </c>
      <c r="O7">
        <f t="shared" si="4"/>
        <v>1722.8021522768836</v>
      </c>
      <c r="P7">
        <f t="shared" si="5"/>
        <v>1597.0375951606711</v>
      </c>
      <c r="Q7">
        <f t="shared" si="6"/>
        <v>429.36539894653703</v>
      </c>
    </row>
    <row r="8" spans="1:17" x14ac:dyDescent="0.25">
      <c r="A8">
        <v>5</v>
      </c>
      <c r="B8">
        <v>76.61</v>
      </c>
      <c r="C8">
        <v>76.209999999999994</v>
      </c>
      <c r="D8">
        <f t="shared" si="2"/>
        <v>76.41</v>
      </c>
      <c r="E8">
        <v>0.5</v>
      </c>
      <c r="F8" s="28">
        <f t="shared" si="3"/>
        <v>158.77398122983246</v>
      </c>
      <c r="M8">
        <f t="shared" si="0"/>
        <v>2.919244049999999E-3</v>
      </c>
      <c r="N8">
        <f t="shared" si="1"/>
        <v>4.9050000000000002</v>
      </c>
      <c r="O8">
        <f t="shared" si="4"/>
        <v>1680.2295101021109</v>
      </c>
      <c r="P8">
        <f t="shared" si="5"/>
        <v>1557.572755864657</v>
      </c>
      <c r="Q8">
        <f t="shared" si="6"/>
        <v>414.25036549616362</v>
      </c>
    </row>
    <row r="9" spans="1:17" x14ac:dyDescent="0.25">
      <c r="A9">
        <v>6</v>
      </c>
      <c r="B9">
        <v>77.25</v>
      </c>
      <c r="C9">
        <v>76.28</v>
      </c>
      <c r="D9">
        <f t="shared" si="2"/>
        <v>76.765000000000001</v>
      </c>
      <c r="E9">
        <v>0.5</v>
      </c>
      <c r="F9" s="28">
        <f t="shared" si="3"/>
        <v>157.30887515758516</v>
      </c>
      <c r="M9">
        <f t="shared" si="0"/>
        <v>2.9464326124999992E-3</v>
      </c>
      <c r="N9">
        <f t="shared" si="1"/>
        <v>4.9050000000000002</v>
      </c>
      <c r="O9">
        <f t="shared" si="4"/>
        <v>1664.724989531727</v>
      </c>
      <c r="P9">
        <f t="shared" si="5"/>
        <v>1543.2000652959111</v>
      </c>
      <c r="Q9">
        <f t="shared" si="6"/>
        <v>408.745625008334</v>
      </c>
    </row>
    <row r="10" spans="1:17" x14ac:dyDescent="0.25">
      <c r="A10">
        <v>7</v>
      </c>
      <c r="B10">
        <v>77.28</v>
      </c>
      <c r="C10">
        <v>76.8</v>
      </c>
      <c r="D10">
        <f t="shared" si="2"/>
        <v>77.039999999999992</v>
      </c>
      <c r="E10">
        <v>0.5</v>
      </c>
      <c r="F10" s="28">
        <f t="shared" si="3"/>
        <v>156.18782814607778</v>
      </c>
      <c r="M10">
        <f t="shared" si="0"/>
        <v>2.967580799999999E-3</v>
      </c>
      <c r="N10">
        <f t="shared" si="1"/>
        <v>4.9050000000000002</v>
      </c>
      <c r="O10">
        <f t="shared" si="4"/>
        <v>1652.8614823225712</v>
      </c>
      <c r="P10">
        <f t="shared" si="5"/>
        <v>1532.2025941130237</v>
      </c>
      <c r="Q10">
        <f t="shared" si="6"/>
        <v>404.53359354528806</v>
      </c>
    </row>
    <row r="11" spans="1:17" x14ac:dyDescent="0.25">
      <c r="A11">
        <v>8</v>
      </c>
      <c r="B11">
        <v>77.02</v>
      </c>
      <c r="C11">
        <v>78.709999999999994</v>
      </c>
      <c r="D11">
        <f t="shared" si="2"/>
        <v>77.864999999999995</v>
      </c>
      <c r="E11">
        <v>0.5</v>
      </c>
      <c r="F11" s="28">
        <f t="shared" si="3"/>
        <v>152.89566010493175</v>
      </c>
      <c r="M11">
        <f t="shared" si="0"/>
        <v>3.031479112499999E-3</v>
      </c>
      <c r="N11">
        <f t="shared" si="1"/>
        <v>4.9050000000000002</v>
      </c>
      <c r="O11">
        <f t="shared" si="4"/>
        <v>1618.0220341201516</v>
      </c>
      <c r="P11">
        <f t="shared" si="5"/>
        <v>1499.9064256293807</v>
      </c>
      <c r="Q11">
        <f t="shared" si="6"/>
        <v>392.16416101605279</v>
      </c>
    </row>
    <row r="12" spans="1:17" x14ac:dyDescent="0.25">
      <c r="A12">
        <v>9</v>
      </c>
      <c r="B12">
        <v>76.98</v>
      </c>
      <c r="C12">
        <v>76.87</v>
      </c>
      <c r="D12">
        <f t="shared" si="2"/>
        <v>76.925000000000011</v>
      </c>
      <c r="E12">
        <v>0.5</v>
      </c>
      <c r="F12" s="28">
        <f t="shared" si="3"/>
        <v>156.65516714373331</v>
      </c>
      <c r="M12">
        <f t="shared" si="0"/>
        <v>2.9587278125E-3</v>
      </c>
      <c r="N12">
        <f t="shared" si="1"/>
        <v>4.9050000000000002</v>
      </c>
      <c r="O12">
        <f t="shared" si="4"/>
        <v>1657.8071086084403</v>
      </c>
      <c r="P12">
        <f t="shared" si="5"/>
        <v>1536.7871896800243</v>
      </c>
      <c r="Q12">
        <f t="shared" si="6"/>
        <v>406.28949364744932</v>
      </c>
    </row>
    <row r="13" spans="1:17" x14ac:dyDescent="0.25">
      <c r="A13">
        <v>10</v>
      </c>
      <c r="B13">
        <v>76.33</v>
      </c>
      <c r="C13">
        <v>75.92</v>
      </c>
      <c r="D13">
        <f t="shared" si="2"/>
        <v>76.125</v>
      </c>
      <c r="E13">
        <v>0.5</v>
      </c>
      <c r="F13" s="28">
        <f t="shared" si="3"/>
        <v>159.96505617704872</v>
      </c>
      <c r="M13">
        <f t="shared" si="0"/>
        <v>2.8975078124999993E-3</v>
      </c>
      <c r="N13">
        <f t="shared" si="1"/>
        <v>4.9050000000000002</v>
      </c>
      <c r="O13">
        <f t="shared" si="4"/>
        <v>1692.834089640613</v>
      </c>
      <c r="P13">
        <f t="shared" si="5"/>
        <v>1569.2572010968483</v>
      </c>
      <c r="Q13">
        <f t="shared" si="6"/>
        <v>418.72550802009295</v>
      </c>
    </row>
    <row r="14" spans="1:17" x14ac:dyDescent="0.25">
      <c r="E14" s="1" t="s">
        <v>20</v>
      </c>
      <c r="F14" s="29">
        <f>AVERAGE(F4:F13)</f>
        <v>157.5440866024274</v>
      </c>
      <c r="H14" s="1" t="s">
        <v>21</v>
      </c>
      <c r="I14" s="1">
        <f>F14/0.3</f>
        <v>525.1469553414247</v>
      </c>
      <c r="L14" s="1" t="s">
        <v>20</v>
      </c>
      <c r="Q14" s="1">
        <f>AVERAGE(Q4:Q13)</f>
        <v>409.62936850523857</v>
      </c>
    </row>
    <row r="15" spans="1:17" x14ac:dyDescent="0.25">
      <c r="E15" s="1" t="s">
        <v>87</v>
      </c>
      <c r="F15" s="14">
        <f>_xlfn.STDEV.P(F3:F13)</f>
        <v>2.5190799656397442</v>
      </c>
    </row>
    <row r="16" spans="1:17" x14ac:dyDescent="0.25">
      <c r="F16" s="14"/>
    </row>
    <row r="17" spans="1:17" ht="30" x14ac:dyDescent="0.25">
      <c r="A17" s="2" t="s">
        <v>100</v>
      </c>
      <c r="B17" s="2" t="s">
        <v>4</v>
      </c>
      <c r="C17" s="2" t="s">
        <v>5</v>
      </c>
      <c r="D17" s="2" t="s">
        <v>6</v>
      </c>
      <c r="E17" s="2" t="s">
        <v>18</v>
      </c>
      <c r="F17" s="2" t="s">
        <v>17</v>
      </c>
      <c r="G17" t="s">
        <v>98</v>
      </c>
      <c r="H17" s="2" t="s">
        <v>2</v>
      </c>
      <c r="L17" s="1" t="s">
        <v>70</v>
      </c>
      <c r="M17" t="s">
        <v>63</v>
      </c>
      <c r="N17" t="s">
        <v>83</v>
      </c>
      <c r="O17" t="s">
        <v>84</v>
      </c>
      <c r="P17" t="s">
        <v>66</v>
      </c>
      <c r="Q17" t="s">
        <v>85</v>
      </c>
    </row>
    <row r="18" spans="1:17" x14ac:dyDescent="0.25">
      <c r="A18" s="1" t="s">
        <v>11</v>
      </c>
    </row>
    <row r="19" spans="1:17" x14ac:dyDescent="0.25">
      <c r="A19" s="26">
        <v>1</v>
      </c>
      <c r="B19" s="26">
        <v>75.48</v>
      </c>
      <c r="C19" s="26">
        <v>76.58</v>
      </c>
      <c r="D19" s="26">
        <f t="shared" ref="D19:D26" si="7">AVERAGE(B19:C19)</f>
        <v>76.03</v>
      </c>
      <c r="E19" s="26">
        <v>0.5</v>
      </c>
      <c r="F19" s="26">
        <f t="shared" si="3"/>
        <v>160.36506076771892</v>
      </c>
      <c r="G19" s="27">
        <v>240</v>
      </c>
      <c r="H19" t="s">
        <v>76</v>
      </c>
      <c r="M19">
        <f t="shared" ref="M19:M26" si="8">(D19*0.001/(2^0.5))^2</f>
        <v>2.8902804499999993E-3</v>
      </c>
      <c r="N19">
        <f t="shared" ref="N19:N26" si="9">E19*9.81</f>
        <v>4.9050000000000002</v>
      </c>
      <c r="O19">
        <f>N19/M19</f>
        <v>1697.0671479302298</v>
      </c>
      <c r="P19">
        <f>0.927*O19</f>
        <v>1573.1812461313232</v>
      </c>
      <c r="Q19">
        <f>(0.383*P19)-182.3</f>
        <v>420.22841726829682</v>
      </c>
    </row>
    <row r="20" spans="1:17" x14ac:dyDescent="0.25">
      <c r="A20" s="26">
        <v>2</v>
      </c>
      <c r="B20" s="26">
        <v>74.7</v>
      </c>
      <c r="C20" s="26">
        <v>75.75</v>
      </c>
      <c r="D20" s="26">
        <f t="shared" si="7"/>
        <v>75.224999999999994</v>
      </c>
      <c r="E20" s="26">
        <v>0.5</v>
      </c>
      <c r="F20" s="26">
        <f t="shared" si="3"/>
        <v>163.81563186810456</v>
      </c>
      <c r="G20" s="27">
        <v>447</v>
      </c>
      <c r="H20" t="s">
        <v>76</v>
      </c>
      <c r="M20">
        <f t="shared" si="8"/>
        <v>2.8294003124999995E-3</v>
      </c>
      <c r="N20">
        <f t="shared" si="9"/>
        <v>4.9050000000000002</v>
      </c>
      <c r="O20">
        <f t="shared" ref="O20:O26" si="10">N20/M20</f>
        <v>1733.5829003517865</v>
      </c>
      <c r="P20">
        <f t="shared" ref="P20:P26" si="11">0.927*O20</f>
        <v>1607.0313486261061</v>
      </c>
      <c r="Q20">
        <f t="shared" ref="Q20:Q26" si="12">(0.383*P20)-182.3</f>
        <v>433.1930065237986</v>
      </c>
    </row>
    <row r="21" spans="1:17" x14ac:dyDescent="0.25">
      <c r="A21" s="26">
        <v>3</v>
      </c>
      <c r="B21" s="26">
        <v>74.87</v>
      </c>
      <c r="C21" s="26">
        <v>75.22</v>
      </c>
      <c r="D21" s="26">
        <f t="shared" si="7"/>
        <v>75.045000000000002</v>
      </c>
      <c r="E21" s="26">
        <v>0.5</v>
      </c>
      <c r="F21" s="26">
        <f t="shared" si="3"/>
        <v>164.60241784171953</v>
      </c>
      <c r="G21" s="27">
        <v>674</v>
      </c>
      <c r="H21" t="s">
        <v>76</v>
      </c>
      <c r="M21">
        <f t="shared" si="8"/>
        <v>2.8158760124999994E-3</v>
      </c>
      <c r="N21">
        <f t="shared" si="9"/>
        <v>4.9050000000000002</v>
      </c>
      <c r="O21">
        <f t="shared" si="10"/>
        <v>1741.9090820143138</v>
      </c>
      <c r="P21">
        <f t="shared" si="11"/>
        <v>1614.7497190272688</v>
      </c>
      <c r="Q21">
        <f t="shared" si="12"/>
        <v>436.14914238744399</v>
      </c>
    </row>
    <row r="22" spans="1:17" x14ac:dyDescent="0.25">
      <c r="A22" s="26">
        <v>4</v>
      </c>
      <c r="B22" s="26">
        <v>75.28</v>
      </c>
      <c r="C22" s="26">
        <v>75.64</v>
      </c>
      <c r="D22" s="26">
        <f t="shared" si="7"/>
        <v>75.460000000000008</v>
      </c>
      <c r="E22" s="26">
        <v>0.5</v>
      </c>
      <c r="F22" s="26">
        <f t="shared" si="3"/>
        <v>162.79690062799909</v>
      </c>
      <c r="G22" s="27">
        <v>1003</v>
      </c>
      <c r="M22">
        <f t="shared" si="8"/>
        <v>2.8471058000000011E-3</v>
      </c>
      <c r="N22">
        <f t="shared" si="9"/>
        <v>4.9050000000000002</v>
      </c>
      <c r="O22">
        <f t="shared" si="10"/>
        <v>1722.8021522768836</v>
      </c>
      <c r="P22">
        <f t="shared" si="11"/>
        <v>1597.0375951606711</v>
      </c>
      <c r="Q22">
        <f t="shared" si="12"/>
        <v>429.36539894653703</v>
      </c>
    </row>
    <row r="23" spans="1:17" x14ac:dyDescent="0.25">
      <c r="A23" s="26">
        <v>5</v>
      </c>
      <c r="B23" s="26">
        <v>74.150000000000006</v>
      </c>
      <c r="C23" s="26">
        <v>74.319999999999993</v>
      </c>
      <c r="D23" s="26">
        <f t="shared" si="7"/>
        <v>74.234999999999999</v>
      </c>
      <c r="E23" s="26">
        <v>0.5</v>
      </c>
      <c r="F23" s="26">
        <f t="shared" si="3"/>
        <v>168.21406595404062</v>
      </c>
      <c r="G23" s="27">
        <v>1303</v>
      </c>
      <c r="M23">
        <f t="shared" si="8"/>
        <v>2.7554176124999995E-3</v>
      </c>
      <c r="N23">
        <f t="shared" si="9"/>
        <v>4.9050000000000002</v>
      </c>
      <c r="O23">
        <f t="shared" si="10"/>
        <v>1780.1294358243133</v>
      </c>
      <c r="P23">
        <f t="shared" si="11"/>
        <v>1650.1799870091386</v>
      </c>
      <c r="Q23">
        <f t="shared" si="12"/>
        <v>449.71893502450013</v>
      </c>
    </row>
    <row r="24" spans="1:17" x14ac:dyDescent="0.25">
      <c r="A24" s="26">
        <v>6</v>
      </c>
      <c r="B24" s="26">
        <v>74.81</v>
      </c>
      <c r="C24" s="26">
        <v>75.73</v>
      </c>
      <c r="D24" s="26">
        <f t="shared" si="7"/>
        <v>75.27000000000001</v>
      </c>
      <c r="E24" s="26">
        <v>0.5</v>
      </c>
      <c r="F24" s="26">
        <f t="shared" si="3"/>
        <v>163.61981680616972</v>
      </c>
      <c r="G24" s="27">
        <v>1498</v>
      </c>
      <c r="M24">
        <f t="shared" si="8"/>
        <v>2.8327864500000011E-3</v>
      </c>
      <c r="N24">
        <f t="shared" si="9"/>
        <v>4.9050000000000002</v>
      </c>
      <c r="O24">
        <f t="shared" si="10"/>
        <v>1731.5106827060679</v>
      </c>
      <c r="P24">
        <f t="shared" si="11"/>
        <v>1605.1104028685249</v>
      </c>
      <c r="Q24">
        <f t="shared" si="12"/>
        <v>432.45728429864511</v>
      </c>
    </row>
    <row r="25" spans="1:17" x14ac:dyDescent="0.25">
      <c r="A25" s="26">
        <v>7</v>
      </c>
      <c r="B25" s="26">
        <v>74.569999999999993</v>
      </c>
      <c r="C25" s="26">
        <v>74.62</v>
      </c>
      <c r="D25" s="26">
        <f t="shared" si="7"/>
        <v>74.594999999999999</v>
      </c>
      <c r="E25" s="26">
        <v>0.5</v>
      </c>
      <c r="F25" s="26">
        <f t="shared" si="3"/>
        <v>166.59436120948965</v>
      </c>
      <c r="G25" s="27">
        <v>5000</v>
      </c>
      <c r="M25">
        <f t="shared" si="8"/>
        <v>2.7822070124999994E-3</v>
      </c>
      <c r="N25">
        <f t="shared" si="9"/>
        <v>4.9050000000000002</v>
      </c>
      <c r="O25">
        <f t="shared" si="10"/>
        <v>1762.988871051881</v>
      </c>
      <c r="P25">
        <f t="shared" si="11"/>
        <v>1634.2906834650937</v>
      </c>
      <c r="Q25">
        <f t="shared" si="12"/>
        <v>443.63333176713087</v>
      </c>
    </row>
    <row r="26" spans="1:17" x14ac:dyDescent="0.25">
      <c r="A26" s="26">
        <v>8</v>
      </c>
      <c r="B26" s="26">
        <v>74.08</v>
      </c>
      <c r="C26" s="26">
        <v>73.73</v>
      </c>
      <c r="D26" s="26">
        <f t="shared" si="7"/>
        <v>73.905000000000001</v>
      </c>
      <c r="E26" s="26">
        <v>0.5</v>
      </c>
      <c r="F26" s="26">
        <f t="shared" si="3"/>
        <v>169.71963593160777</v>
      </c>
      <c r="G26" s="27">
        <v>5000</v>
      </c>
      <c r="M26">
        <f t="shared" si="8"/>
        <v>2.7309745124999996E-3</v>
      </c>
      <c r="N26">
        <f t="shared" si="9"/>
        <v>4.9050000000000002</v>
      </c>
      <c r="O26">
        <f t="shared" si="10"/>
        <v>1796.0621666548786</v>
      </c>
      <c r="P26">
        <f t="shared" si="11"/>
        <v>1664.9496284890727</v>
      </c>
      <c r="Q26">
        <f t="shared" si="12"/>
        <v>455.37570771131487</v>
      </c>
    </row>
    <row r="27" spans="1:17" x14ac:dyDescent="0.25">
      <c r="E27" s="1" t="s">
        <v>20</v>
      </c>
      <c r="F27" s="1">
        <f>AVERAGE(F19:F26)</f>
        <v>164.96598637585626</v>
      </c>
      <c r="H27" s="1" t="s">
        <v>21</v>
      </c>
      <c r="I27" s="29">
        <f>F27/0.3</f>
        <v>549.88662125285418</v>
      </c>
      <c r="L27" s="1" t="s">
        <v>20</v>
      </c>
      <c r="Q27" s="1">
        <f>AVERAGE(Q19:Q26)</f>
        <v>437.51515299095843</v>
      </c>
    </row>
    <row r="28" spans="1:17" x14ac:dyDescent="0.25">
      <c r="A28" s="1"/>
      <c r="E28" s="1" t="s">
        <v>87</v>
      </c>
      <c r="F28" s="8">
        <f>_xlfn.STDEV.P(F16:F26)</f>
        <v>2.8491211179933513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zoomScaleNormal="100" workbookViewId="0">
      <selection activeCell="F14" sqref="F14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6" width="10.42578125" customWidth="1"/>
    <col min="7" max="7" width="33.42578125" bestFit="1" customWidth="1"/>
    <col min="8" max="8" width="30.28515625" bestFit="1" customWidth="1"/>
    <col min="12" max="12" width="19.140625" bestFit="1" customWidth="1"/>
    <col min="16" max="16" width="11" bestFit="1" customWidth="1"/>
  </cols>
  <sheetData>
    <row r="1" spans="1:17" x14ac:dyDescent="0.25">
      <c r="A1" t="s">
        <v>77</v>
      </c>
    </row>
    <row r="2" spans="1:17" ht="30" x14ac:dyDescent="0.25">
      <c r="A2" s="2" t="s">
        <v>3</v>
      </c>
      <c r="B2" s="2" t="s">
        <v>4</v>
      </c>
      <c r="C2" s="2" t="s">
        <v>5</v>
      </c>
      <c r="D2" s="2" t="s">
        <v>6</v>
      </c>
      <c r="E2" s="2" t="s">
        <v>18</v>
      </c>
      <c r="F2" s="2" t="s">
        <v>17</v>
      </c>
      <c r="G2" s="2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" t="s">
        <v>1</v>
      </c>
    </row>
    <row r="4" spans="1:17" x14ac:dyDescent="0.25">
      <c r="A4">
        <v>1</v>
      </c>
      <c r="B4">
        <v>73.39</v>
      </c>
      <c r="C4">
        <v>72.459999999999994</v>
      </c>
      <c r="D4">
        <f>AVERAGE(B4:C4)</f>
        <v>72.924999999999997</v>
      </c>
      <c r="E4">
        <v>0.5</v>
      </c>
      <c r="F4" s="28">
        <f>(1.854*E4)/((D4*0.001)^2)</f>
        <v>174.31182848900718</v>
      </c>
      <c r="G4" t="s">
        <v>76</v>
      </c>
      <c r="M4">
        <f t="shared" ref="M4:M13" si="0">(D4*0.001/(2^0.5))^2</f>
        <v>2.6590278124999996E-3</v>
      </c>
      <c r="N4">
        <f t="shared" ref="N4:N13" si="1">E4*9.81</f>
        <v>4.9050000000000002</v>
      </c>
      <c r="O4">
        <f>N4/M4</f>
        <v>1844.6591558545426</v>
      </c>
      <c r="P4">
        <f>0.927*O4</f>
        <v>1709.9990374771612</v>
      </c>
      <c r="Q4">
        <f>(0.383*P4)-182.3</f>
        <v>472.6296313537527</v>
      </c>
    </row>
    <row r="5" spans="1:17" x14ac:dyDescent="0.25">
      <c r="A5">
        <v>2</v>
      </c>
      <c r="B5">
        <v>72.03</v>
      </c>
      <c r="C5">
        <v>72.56</v>
      </c>
      <c r="D5">
        <f t="shared" ref="D5:D6" si="2">AVERAGE(B5:C5)</f>
        <v>72.295000000000002</v>
      </c>
      <c r="E5">
        <v>0.5</v>
      </c>
      <c r="F5" s="28">
        <f t="shared" ref="F5:F6" si="3">(1.854*E5)/((D5*0.001)^2)</f>
        <v>177.36307514395648</v>
      </c>
      <c r="G5" t="s">
        <v>76</v>
      </c>
      <c r="M5">
        <f t="shared" si="0"/>
        <v>2.6132835124999996E-3</v>
      </c>
      <c r="N5">
        <f t="shared" si="1"/>
        <v>4.9050000000000002</v>
      </c>
      <c r="O5">
        <f t="shared" ref="O5:O13" si="4">N5/M5</f>
        <v>1876.949047639928</v>
      </c>
      <c r="P5">
        <f t="shared" ref="P5:P13" si="5">0.927*O5</f>
        <v>1739.9317671622134</v>
      </c>
      <c r="Q5">
        <f t="shared" ref="Q5:Q13" si="6">(0.383*P5)-182.3</f>
        <v>484.09386682312771</v>
      </c>
    </row>
    <row r="6" spans="1:17" x14ac:dyDescent="0.25">
      <c r="A6">
        <v>3</v>
      </c>
      <c r="B6">
        <v>73.959999999999994</v>
      </c>
      <c r="C6">
        <v>70.94</v>
      </c>
      <c r="D6">
        <f t="shared" si="2"/>
        <v>72.449999999999989</v>
      </c>
      <c r="E6">
        <v>0.5</v>
      </c>
      <c r="F6" s="28">
        <f t="shared" si="3"/>
        <v>176.60498351829713</v>
      </c>
      <c r="G6" t="s">
        <v>76</v>
      </c>
      <c r="M6">
        <f t="shared" si="0"/>
        <v>2.624501249999999E-3</v>
      </c>
      <c r="N6">
        <f t="shared" si="1"/>
        <v>4.9050000000000002</v>
      </c>
      <c r="O6">
        <f t="shared" si="4"/>
        <v>1868.9265246111054</v>
      </c>
      <c r="P6">
        <f t="shared" si="5"/>
        <v>1732.4948883144948</v>
      </c>
      <c r="Q6">
        <f t="shared" si="6"/>
        <v>481.24554222445153</v>
      </c>
    </row>
    <row r="7" spans="1:17" x14ac:dyDescent="0.25">
      <c r="A7">
        <v>4</v>
      </c>
      <c r="B7">
        <v>71.12</v>
      </c>
      <c r="C7">
        <v>70.22</v>
      </c>
      <c r="D7">
        <f t="shared" ref="D7:D12" si="7">AVERAGE(B7:C7)</f>
        <v>70.67</v>
      </c>
      <c r="E7">
        <v>0.5</v>
      </c>
      <c r="F7" s="28">
        <f t="shared" ref="F7:F12" si="8">(1.854*E7)/((D7*0.001)^2)</f>
        <v>185.61349635577838</v>
      </c>
      <c r="M7">
        <f t="shared" si="0"/>
        <v>2.4971244499999998E-3</v>
      </c>
      <c r="N7">
        <f t="shared" si="1"/>
        <v>4.9050000000000002</v>
      </c>
      <c r="O7">
        <f t="shared" si="4"/>
        <v>1964.2593303669751</v>
      </c>
      <c r="P7">
        <f t="shared" si="5"/>
        <v>1820.868399250186</v>
      </c>
      <c r="Q7">
        <f t="shared" si="6"/>
        <v>515.09259691282136</v>
      </c>
    </row>
    <row r="8" spans="1:17" x14ac:dyDescent="0.25">
      <c r="A8">
        <v>5</v>
      </c>
      <c r="B8">
        <v>76.33</v>
      </c>
      <c r="C8">
        <v>72.41</v>
      </c>
      <c r="D8">
        <f t="shared" si="7"/>
        <v>74.37</v>
      </c>
      <c r="E8">
        <v>0.5</v>
      </c>
      <c r="F8" s="28">
        <f t="shared" si="8"/>
        <v>167.60391971869876</v>
      </c>
      <c r="M8">
        <f t="shared" si="0"/>
        <v>2.7654484499999997E-3</v>
      </c>
      <c r="N8">
        <f t="shared" si="1"/>
        <v>4.9050000000000002</v>
      </c>
      <c r="O8">
        <f t="shared" si="4"/>
        <v>1773.672548479434</v>
      </c>
      <c r="P8">
        <f t="shared" si="5"/>
        <v>1644.1944524404355</v>
      </c>
      <c r="Q8">
        <f t="shared" si="6"/>
        <v>447.42647528468677</v>
      </c>
    </row>
    <row r="9" spans="1:17" x14ac:dyDescent="0.25">
      <c r="A9">
        <v>6</v>
      </c>
      <c r="B9">
        <v>70.7</v>
      </c>
      <c r="C9">
        <v>69.400000000000006</v>
      </c>
      <c r="D9">
        <f t="shared" si="7"/>
        <v>70.050000000000011</v>
      </c>
      <c r="E9">
        <v>0.5</v>
      </c>
      <c r="F9" s="28">
        <f t="shared" si="8"/>
        <v>188.91370037003236</v>
      </c>
      <c r="M9">
        <f t="shared" si="0"/>
        <v>2.4535012500000006E-3</v>
      </c>
      <c r="N9">
        <f t="shared" si="1"/>
        <v>4.9050000000000002</v>
      </c>
      <c r="O9">
        <f t="shared" si="4"/>
        <v>1999.1838194498573</v>
      </c>
      <c r="P9">
        <f t="shared" si="5"/>
        <v>1853.2434006300177</v>
      </c>
      <c r="Q9">
        <f t="shared" si="6"/>
        <v>527.49222244129669</v>
      </c>
    </row>
    <row r="10" spans="1:17" x14ac:dyDescent="0.25">
      <c r="A10">
        <v>7</v>
      </c>
      <c r="B10">
        <v>69.59</v>
      </c>
      <c r="C10">
        <v>74.040000000000006</v>
      </c>
      <c r="D10">
        <f t="shared" si="7"/>
        <v>71.814999999999998</v>
      </c>
      <c r="E10">
        <v>0.5</v>
      </c>
      <c r="F10" s="28">
        <f t="shared" si="8"/>
        <v>179.7419315953106</v>
      </c>
      <c r="M10">
        <f t="shared" si="0"/>
        <v>2.5786971125000002E-3</v>
      </c>
      <c r="N10">
        <f t="shared" si="1"/>
        <v>4.9050000000000002</v>
      </c>
      <c r="O10">
        <f t="shared" si="4"/>
        <v>1902.123353775617</v>
      </c>
      <c r="P10">
        <f t="shared" si="5"/>
        <v>1763.2683489499971</v>
      </c>
      <c r="Q10">
        <f t="shared" si="6"/>
        <v>493.03177764784886</v>
      </c>
    </row>
    <row r="11" spans="1:17" x14ac:dyDescent="0.25">
      <c r="A11">
        <v>8</v>
      </c>
      <c r="B11">
        <v>70.72</v>
      </c>
      <c r="C11">
        <v>76.11</v>
      </c>
      <c r="D11">
        <f t="shared" si="7"/>
        <v>73.414999999999992</v>
      </c>
      <c r="E11">
        <v>0.5</v>
      </c>
      <c r="F11" s="28">
        <f t="shared" si="8"/>
        <v>171.99274500462778</v>
      </c>
      <c r="M11">
        <f t="shared" si="0"/>
        <v>2.694881112499999E-3</v>
      </c>
      <c r="N11">
        <f t="shared" si="1"/>
        <v>4.9050000000000002</v>
      </c>
      <c r="O11">
        <f t="shared" si="4"/>
        <v>1820.1173985926632</v>
      </c>
      <c r="P11">
        <f t="shared" si="5"/>
        <v>1687.2488284953988</v>
      </c>
      <c r="Q11">
        <f t="shared" si="6"/>
        <v>463.91630131373773</v>
      </c>
    </row>
    <row r="12" spans="1:17" x14ac:dyDescent="0.25">
      <c r="A12">
        <v>9</v>
      </c>
      <c r="B12">
        <v>76.72</v>
      </c>
      <c r="C12">
        <v>78.17</v>
      </c>
      <c r="D12">
        <f t="shared" si="7"/>
        <v>77.444999999999993</v>
      </c>
      <c r="E12">
        <v>0.5</v>
      </c>
      <c r="F12" s="28">
        <f t="shared" si="8"/>
        <v>154.55852551766884</v>
      </c>
      <c r="M12">
        <f t="shared" si="0"/>
        <v>2.9988640124999997E-3</v>
      </c>
      <c r="N12">
        <f t="shared" si="1"/>
        <v>4.9050000000000002</v>
      </c>
      <c r="O12">
        <f t="shared" si="4"/>
        <v>1635.6193477112529</v>
      </c>
      <c r="P12">
        <f t="shared" si="5"/>
        <v>1516.2191353283315</v>
      </c>
      <c r="Q12">
        <f t="shared" si="6"/>
        <v>398.41192883075092</v>
      </c>
    </row>
    <row r="13" spans="1:17" x14ac:dyDescent="0.25">
      <c r="A13">
        <v>10</v>
      </c>
      <c r="B13">
        <v>73.239999999999995</v>
      </c>
      <c r="C13">
        <v>71.83</v>
      </c>
      <c r="D13">
        <f t="shared" ref="D13" si="9">AVERAGE(B13:C13)</f>
        <v>72.534999999999997</v>
      </c>
      <c r="E13">
        <v>0.5</v>
      </c>
      <c r="F13" s="28">
        <f t="shared" ref="F13" si="10">(1.854*E13)/((D13*0.001)^2)</f>
        <v>176.19131761783123</v>
      </c>
      <c r="M13">
        <f t="shared" si="0"/>
        <v>2.6306631124999994E-3</v>
      </c>
      <c r="N13">
        <f t="shared" si="1"/>
        <v>4.9050000000000002</v>
      </c>
      <c r="O13">
        <f t="shared" si="4"/>
        <v>1864.5488951789912</v>
      </c>
      <c r="P13">
        <f t="shared" si="5"/>
        <v>1728.4368258309248</v>
      </c>
      <c r="Q13">
        <f t="shared" si="6"/>
        <v>479.69130429324417</v>
      </c>
    </row>
    <row r="14" spans="1:17" x14ac:dyDescent="0.25">
      <c r="E14" s="1" t="s">
        <v>20</v>
      </c>
      <c r="F14" s="29">
        <f>AVERAGE(F4:F13)</f>
        <v>175.28955233312087</v>
      </c>
      <c r="G14" s="1"/>
      <c r="H14" s="1" t="s">
        <v>21</v>
      </c>
      <c r="I14" s="1">
        <f>F14/0.3</f>
        <v>584.29850777706963</v>
      </c>
      <c r="P14" s="1" t="s">
        <v>86</v>
      </c>
      <c r="Q14" s="1">
        <f>AVERAGE(Q4:Q13)</f>
        <v>476.30316471257174</v>
      </c>
    </row>
    <row r="15" spans="1:17" x14ac:dyDescent="0.25">
      <c r="E15" s="1" t="s">
        <v>87</v>
      </c>
      <c r="F15" s="8">
        <f>_xlfn.STDEV.P(F3:F13)</f>
        <v>9.0528296773502532</v>
      </c>
      <c r="G15" s="1"/>
      <c r="H15" s="1"/>
      <c r="I15" s="1"/>
      <c r="P15" s="1"/>
      <c r="Q15" s="1"/>
    </row>
    <row r="16" spans="1:17" x14ac:dyDescent="0.25">
      <c r="A16" s="1"/>
    </row>
    <row r="17" spans="1:17" ht="30" x14ac:dyDescent="0.25">
      <c r="A17" s="2" t="s">
        <v>100</v>
      </c>
      <c r="B17" s="2" t="s">
        <v>4</v>
      </c>
      <c r="C17" s="2" t="s">
        <v>5</v>
      </c>
      <c r="D17" s="2" t="s">
        <v>6</v>
      </c>
      <c r="E17" s="2" t="s">
        <v>18</v>
      </c>
      <c r="F17" s="2" t="s">
        <v>17</v>
      </c>
      <c r="G17" t="s">
        <v>98</v>
      </c>
      <c r="H17" s="2" t="s">
        <v>2</v>
      </c>
      <c r="L17" s="1" t="s">
        <v>70</v>
      </c>
      <c r="M17" t="s">
        <v>63</v>
      </c>
      <c r="N17" t="s">
        <v>83</v>
      </c>
      <c r="O17" t="s">
        <v>84</v>
      </c>
      <c r="P17" t="s">
        <v>66</v>
      </c>
      <c r="Q17" t="s">
        <v>85</v>
      </c>
    </row>
    <row r="18" spans="1:17" x14ac:dyDescent="0.25">
      <c r="A18" s="1" t="s">
        <v>11</v>
      </c>
    </row>
    <row r="19" spans="1:17" x14ac:dyDescent="0.25">
      <c r="A19" s="26">
        <v>1</v>
      </c>
      <c r="B19" s="26">
        <v>77.819999999999993</v>
      </c>
      <c r="C19" s="26">
        <v>78.59</v>
      </c>
      <c r="D19" s="26">
        <f t="shared" ref="D19:D33" si="11">AVERAGE(B19:C19)</f>
        <v>78.204999999999998</v>
      </c>
      <c r="E19" s="26">
        <v>0.5</v>
      </c>
      <c r="F19" s="26">
        <f t="shared" ref="F19:F33" si="12">(1.854*E19)/((D19*0.001)^2)</f>
        <v>151.56910753603773</v>
      </c>
      <c r="G19" s="27">
        <v>176</v>
      </c>
      <c r="H19" t="s">
        <v>76</v>
      </c>
      <c r="M19">
        <f t="shared" ref="M19:M26" si="13">(D19*0.001/(2^0.5))^2</f>
        <v>3.0580110124999995E-3</v>
      </c>
      <c r="N19">
        <f t="shared" ref="N19:N26" si="14">E19*9.81</f>
        <v>4.9050000000000002</v>
      </c>
      <c r="O19">
        <f>N19/M19</f>
        <v>1603.9837593619525</v>
      </c>
      <c r="P19">
        <f>0.927*O19</f>
        <v>1486.8929449285299</v>
      </c>
      <c r="Q19">
        <f>(0.383*P19)-182.3</f>
        <v>387.17999790762696</v>
      </c>
    </row>
    <row r="20" spans="1:17" x14ac:dyDescent="0.25">
      <c r="A20" s="26">
        <v>2</v>
      </c>
      <c r="B20" s="26">
        <v>74.56</v>
      </c>
      <c r="C20" s="26">
        <v>74.87</v>
      </c>
      <c r="D20" s="26">
        <f t="shared" si="11"/>
        <v>74.715000000000003</v>
      </c>
      <c r="E20" s="26">
        <v>0.5</v>
      </c>
      <c r="F20" s="26">
        <f t="shared" si="12"/>
        <v>166.05965548022456</v>
      </c>
      <c r="G20" s="27">
        <v>187</v>
      </c>
      <c r="H20" t="s">
        <v>76</v>
      </c>
      <c r="M20">
        <f t="shared" si="13"/>
        <v>2.7911656124999995E-3</v>
      </c>
      <c r="N20">
        <f t="shared" si="14"/>
        <v>4.9050000000000002</v>
      </c>
      <c r="O20">
        <f t="shared" ref="O20:O26" si="15">N20/M20</f>
        <v>1757.3303346936391</v>
      </c>
      <c r="P20">
        <f t="shared" ref="P20:P26" si="16">0.927*O20</f>
        <v>1629.0452202610036</v>
      </c>
      <c r="Q20">
        <f t="shared" ref="Q20:Q26" si="17">(0.383*P20)-182.3</f>
        <v>441.62431935996432</v>
      </c>
    </row>
    <row r="21" spans="1:17" x14ac:dyDescent="0.25">
      <c r="A21" s="26">
        <v>3</v>
      </c>
      <c r="B21" s="26">
        <v>74.12</v>
      </c>
      <c r="C21" s="26">
        <v>76.19</v>
      </c>
      <c r="D21" s="26">
        <f t="shared" si="11"/>
        <v>75.155000000000001</v>
      </c>
      <c r="E21" s="26">
        <v>0.5</v>
      </c>
      <c r="F21" s="26">
        <f t="shared" si="12"/>
        <v>164.12093250026055</v>
      </c>
      <c r="G21" s="27">
        <v>391</v>
      </c>
      <c r="H21" t="s">
        <v>76</v>
      </c>
      <c r="M21">
        <f t="shared" si="13"/>
        <v>2.8241370124999993E-3</v>
      </c>
      <c r="N21">
        <f t="shared" si="14"/>
        <v>4.9050000000000002</v>
      </c>
      <c r="O21">
        <f t="shared" si="15"/>
        <v>1736.8137517017869</v>
      </c>
      <c r="P21">
        <f t="shared" si="16"/>
        <v>1610.0263478275565</v>
      </c>
      <c r="Q21">
        <f t="shared" si="17"/>
        <v>434.34009121795413</v>
      </c>
    </row>
    <row r="22" spans="1:17" x14ac:dyDescent="0.25">
      <c r="A22" s="26">
        <v>4</v>
      </c>
      <c r="B22" s="26">
        <v>73.87</v>
      </c>
      <c r="C22" s="26">
        <v>74.97</v>
      </c>
      <c r="D22" s="26">
        <f t="shared" si="11"/>
        <v>74.42</v>
      </c>
      <c r="E22" s="26">
        <v>0.5</v>
      </c>
      <c r="F22" s="26">
        <f t="shared" si="12"/>
        <v>167.37878183058726</v>
      </c>
      <c r="G22" s="27">
        <v>558</v>
      </c>
      <c r="M22">
        <f t="shared" si="13"/>
        <v>2.7691681999999994E-3</v>
      </c>
      <c r="N22">
        <f t="shared" si="14"/>
        <v>4.9050000000000002</v>
      </c>
      <c r="O22">
        <f t="shared" si="15"/>
        <v>1771.2900213139819</v>
      </c>
      <c r="P22">
        <f t="shared" si="16"/>
        <v>1641.9858497580612</v>
      </c>
      <c r="Q22">
        <f t="shared" si="17"/>
        <v>446.58058045733748</v>
      </c>
    </row>
    <row r="23" spans="1:17" x14ac:dyDescent="0.25">
      <c r="A23" s="26">
        <v>5</v>
      </c>
      <c r="B23" s="26">
        <v>74.319999999999993</v>
      </c>
      <c r="C23" s="26">
        <v>74.569999999999993</v>
      </c>
      <c r="D23" s="26">
        <f t="shared" si="11"/>
        <v>74.444999999999993</v>
      </c>
      <c r="E23" s="26">
        <v>0.5</v>
      </c>
      <c r="F23" s="26">
        <f t="shared" si="12"/>
        <v>167.26638296068728</v>
      </c>
      <c r="G23" s="27">
        <v>764</v>
      </c>
      <c r="M23">
        <f t="shared" si="13"/>
        <v>2.7710290124999992E-3</v>
      </c>
      <c r="N23">
        <f t="shared" si="14"/>
        <v>4.9050000000000002</v>
      </c>
      <c r="O23">
        <f t="shared" si="15"/>
        <v>1770.1005575451375</v>
      </c>
      <c r="P23">
        <f t="shared" si="16"/>
        <v>1640.8832168443425</v>
      </c>
      <c r="Q23">
        <f t="shared" si="17"/>
        <v>446.15827205138322</v>
      </c>
    </row>
    <row r="24" spans="1:17" x14ac:dyDescent="0.25">
      <c r="A24" s="26">
        <v>6</v>
      </c>
      <c r="B24" s="26">
        <v>74.05</v>
      </c>
      <c r="C24" s="26">
        <v>75.44</v>
      </c>
      <c r="D24" s="26">
        <f t="shared" si="11"/>
        <v>74.745000000000005</v>
      </c>
      <c r="E24" s="26">
        <v>0.5</v>
      </c>
      <c r="F24" s="26">
        <f t="shared" si="12"/>
        <v>165.92638128376194</v>
      </c>
      <c r="G24" s="27">
        <v>976</v>
      </c>
      <c r="M24">
        <f t="shared" si="13"/>
        <v>2.7934075125000003E-3</v>
      </c>
      <c r="N24">
        <f t="shared" si="14"/>
        <v>4.9050000000000002</v>
      </c>
      <c r="O24">
        <f t="shared" si="15"/>
        <v>1755.9199572747623</v>
      </c>
      <c r="P24">
        <f t="shared" si="16"/>
        <v>1627.7378003937047</v>
      </c>
      <c r="Q24">
        <f t="shared" si="17"/>
        <v>441.12357755078887</v>
      </c>
    </row>
    <row r="25" spans="1:17" x14ac:dyDescent="0.25">
      <c r="A25" s="26">
        <v>7</v>
      </c>
      <c r="B25" s="26">
        <v>73.849999999999994</v>
      </c>
      <c r="C25" s="26">
        <v>74.63</v>
      </c>
      <c r="D25" s="26">
        <f t="shared" si="11"/>
        <v>74.239999999999995</v>
      </c>
      <c r="E25" s="26">
        <v>0.5</v>
      </c>
      <c r="F25" s="26">
        <f t="shared" si="12"/>
        <v>168.19140857238406</v>
      </c>
      <c r="G25" s="27">
        <v>1181</v>
      </c>
      <c r="M25">
        <f t="shared" si="13"/>
        <v>2.7557887999999993E-3</v>
      </c>
      <c r="N25">
        <f t="shared" si="14"/>
        <v>4.9050000000000002</v>
      </c>
      <c r="O25">
        <f t="shared" si="15"/>
        <v>1779.889663532997</v>
      </c>
      <c r="P25">
        <f t="shared" si="16"/>
        <v>1649.9577180950882</v>
      </c>
      <c r="Q25">
        <f t="shared" si="17"/>
        <v>449.63380603041884</v>
      </c>
    </row>
    <row r="26" spans="1:17" x14ac:dyDescent="0.25">
      <c r="A26" s="26">
        <v>8</v>
      </c>
      <c r="B26" s="26">
        <v>74.05</v>
      </c>
      <c r="C26" s="26">
        <v>75.59</v>
      </c>
      <c r="D26" s="26">
        <f t="shared" si="11"/>
        <v>74.819999999999993</v>
      </c>
      <c r="E26" s="26">
        <v>0.5</v>
      </c>
      <c r="F26" s="26">
        <f t="shared" si="12"/>
        <v>165.59389688419813</v>
      </c>
      <c r="G26" s="27">
        <v>1418</v>
      </c>
      <c r="M26">
        <f t="shared" si="13"/>
        <v>2.7990161999999993E-3</v>
      </c>
      <c r="N26">
        <f t="shared" si="14"/>
        <v>4.9050000000000002</v>
      </c>
      <c r="O26">
        <f t="shared" si="15"/>
        <v>1752.4014330463688</v>
      </c>
      <c r="P26">
        <f t="shared" si="16"/>
        <v>1624.4761284339838</v>
      </c>
      <c r="Q26">
        <f t="shared" si="17"/>
        <v>439.87435719021579</v>
      </c>
    </row>
    <row r="27" spans="1:17" x14ac:dyDescent="0.25">
      <c r="A27" s="26">
        <v>9</v>
      </c>
      <c r="B27" s="26">
        <v>74.459999999999994</v>
      </c>
      <c r="C27" s="26">
        <v>73.42</v>
      </c>
      <c r="D27" s="26">
        <f t="shared" si="11"/>
        <v>73.94</v>
      </c>
      <c r="E27" s="26">
        <v>0.5</v>
      </c>
      <c r="F27" s="26">
        <f t="shared" si="12"/>
        <v>169.55899808081892</v>
      </c>
      <c r="G27" s="27">
        <v>1778</v>
      </c>
    </row>
    <row r="28" spans="1:17" x14ac:dyDescent="0.25">
      <c r="A28" s="26">
        <v>10</v>
      </c>
      <c r="B28" s="26">
        <v>73.84</v>
      </c>
      <c r="C28" s="26">
        <v>73.709999999999994</v>
      </c>
      <c r="D28" s="26">
        <f t="shared" si="11"/>
        <v>73.775000000000006</v>
      </c>
      <c r="E28" s="26">
        <v>0.5</v>
      </c>
      <c r="F28" s="26">
        <f t="shared" si="12"/>
        <v>170.31829379469318</v>
      </c>
      <c r="G28" s="27">
        <v>2030</v>
      </c>
    </row>
    <row r="29" spans="1:17" x14ac:dyDescent="0.25">
      <c r="A29" s="26">
        <v>11</v>
      </c>
      <c r="B29" s="26">
        <v>74.61</v>
      </c>
      <c r="C29" s="26">
        <v>74.150000000000006</v>
      </c>
      <c r="D29" s="26">
        <f t="shared" si="11"/>
        <v>74.38</v>
      </c>
      <c r="E29" s="26">
        <v>0.5</v>
      </c>
      <c r="F29" s="26">
        <f t="shared" si="12"/>
        <v>167.55885581630949</v>
      </c>
      <c r="G29" s="27">
        <v>2322</v>
      </c>
    </row>
    <row r="30" spans="1:17" x14ac:dyDescent="0.25">
      <c r="A30" s="26">
        <v>12</v>
      </c>
      <c r="B30" s="26">
        <v>73.989999999999995</v>
      </c>
      <c r="C30" s="26">
        <v>74.7</v>
      </c>
      <c r="D30" s="26">
        <f t="shared" si="11"/>
        <v>74.344999999999999</v>
      </c>
      <c r="E30" s="26">
        <v>0.5</v>
      </c>
      <c r="F30" s="26">
        <f t="shared" si="12"/>
        <v>167.71665904199659</v>
      </c>
      <c r="G30" s="27">
        <v>2595</v>
      </c>
    </row>
    <row r="31" spans="1:17" x14ac:dyDescent="0.25">
      <c r="A31" s="26">
        <v>13</v>
      </c>
      <c r="B31" s="26">
        <v>74.83</v>
      </c>
      <c r="C31" s="26">
        <v>75.290000000000006</v>
      </c>
      <c r="D31" s="26">
        <f t="shared" si="11"/>
        <v>75.06</v>
      </c>
      <c r="E31" s="26">
        <v>0.5</v>
      </c>
      <c r="F31" s="26">
        <f t="shared" si="12"/>
        <v>164.53663607882677</v>
      </c>
      <c r="G31" s="27">
        <v>5000</v>
      </c>
    </row>
    <row r="32" spans="1:17" x14ac:dyDescent="0.25">
      <c r="A32" s="26">
        <v>14</v>
      </c>
      <c r="B32" s="26">
        <v>75.290000000000006</v>
      </c>
      <c r="C32" s="26">
        <v>75.05</v>
      </c>
      <c r="D32" s="26">
        <f t="shared" si="11"/>
        <v>75.17</v>
      </c>
      <c r="E32" s="26">
        <v>0.5</v>
      </c>
      <c r="F32" s="26">
        <f t="shared" si="12"/>
        <v>164.05543912889289</v>
      </c>
      <c r="G32" s="27">
        <v>5000</v>
      </c>
    </row>
    <row r="33" spans="1:17" x14ac:dyDescent="0.25">
      <c r="A33" s="26">
        <v>15</v>
      </c>
      <c r="B33" s="26">
        <v>75.64</v>
      </c>
      <c r="C33" s="26">
        <v>76.05</v>
      </c>
      <c r="D33" s="26">
        <f t="shared" si="11"/>
        <v>75.844999999999999</v>
      </c>
      <c r="E33" s="26">
        <v>0.5</v>
      </c>
      <c r="F33" s="26">
        <f t="shared" si="12"/>
        <v>161.14833503891407</v>
      </c>
      <c r="G33" s="27">
        <v>5000</v>
      </c>
    </row>
    <row r="34" spans="1:17" x14ac:dyDescent="0.25">
      <c r="A34" s="26"/>
      <c r="E34" s="1" t="s">
        <v>20</v>
      </c>
      <c r="F34" s="1">
        <f>AVERAGE(F19:F33)</f>
        <v>165.39998426857287</v>
      </c>
      <c r="H34" s="1" t="s">
        <v>21</v>
      </c>
      <c r="I34" s="29">
        <f>F34/0.3</f>
        <v>551.33328089524286</v>
      </c>
      <c r="L34" s="1" t="s">
        <v>20</v>
      </c>
      <c r="Q34" s="1">
        <f>AVERAGE(Q19:Q26)</f>
        <v>435.81437522071121</v>
      </c>
    </row>
    <row r="35" spans="1:17" x14ac:dyDescent="0.25">
      <c r="A35" s="30"/>
      <c r="E35" s="1" t="s">
        <v>87</v>
      </c>
      <c r="F35" s="8">
        <f>_xlfn.STDEV.P(F19:F33)</f>
        <v>4.3283151911531768</v>
      </c>
    </row>
    <row r="36" spans="1:17" x14ac:dyDescent="0.25">
      <c r="A36" s="26"/>
    </row>
    <row r="37" spans="1:17" x14ac:dyDescent="0.25">
      <c r="A37" s="26"/>
    </row>
    <row r="39" spans="1:17" x14ac:dyDescent="0.25">
      <c r="A39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F15" sqref="F15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5" width="10.42578125" customWidth="1"/>
    <col min="6" max="6" width="15.42578125" customWidth="1"/>
    <col min="7" max="7" width="35.140625" bestFit="1" customWidth="1"/>
    <col min="8" max="8" width="30.28515625" bestFit="1" customWidth="1"/>
    <col min="16" max="16" width="11" bestFit="1" customWidth="1"/>
  </cols>
  <sheetData>
    <row r="1" spans="1:17" x14ac:dyDescent="0.25">
      <c r="A1" t="s">
        <v>78</v>
      </c>
    </row>
    <row r="2" spans="1:17" ht="30" x14ac:dyDescent="0.25">
      <c r="A2" s="31" t="s">
        <v>3</v>
      </c>
      <c r="B2" s="31" t="s">
        <v>4</v>
      </c>
      <c r="C2" s="31" t="s">
        <v>5</v>
      </c>
      <c r="D2" s="31" t="s">
        <v>6</v>
      </c>
      <c r="E2" s="31" t="s">
        <v>18</v>
      </c>
      <c r="F2" s="31" t="s">
        <v>17</v>
      </c>
      <c r="G2" s="31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" t="s">
        <v>1</v>
      </c>
    </row>
    <row r="4" spans="1:17" x14ac:dyDescent="0.25">
      <c r="A4">
        <v>1</v>
      </c>
      <c r="B4">
        <v>70.89</v>
      </c>
      <c r="C4">
        <v>74.31</v>
      </c>
      <c r="D4">
        <f>AVERAGE(B4:C4)</f>
        <v>72.599999999999994</v>
      </c>
      <c r="E4">
        <v>0.5</v>
      </c>
      <c r="F4" s="28">
        <f>(1.854*E4)/((D4*0.001)^2)</f>
        <v>175.87596475650574</v>
      </c>
      <c r="G4" t="s">
        <v>76</v>
      </c>
      <c r="M4">
        <f t="shared" ref="M4:M13" si="0">(D4*0.001/(2^0.5))^2</f>
        <v>2.6353799999999997E-3</v>
      </c>
      <c r="N4">
        <f t="shared" ref="N4:N13" si="1">E4*9.81</f>
        <v>4.9050000000000002</v>
      </c>
      <c r="O4">
        <f>N4/M4</f>
        <v>1861.211665869818</v>
      </c>
      <c r="P4">
        <f>0.927*O4</f>
        <v>1725.3432142613215</v>
      </c>
      <c r="Q4">
        <f>(0.383*P4)-182.3</f>
        <v>478.50645106208611</v>
      </c>
    </row>
    <row r="5" spans="1:17" x14ac:dyDescent="0.25">
      <c r="A5">
        <v>2</v>
      </c>
      <c r="B5">
        <v>73.099999999999994</v>
      </c>
      <c r="C5">
        <v>72.61</v>
      </c>
      <c r="D5">
        <f t="shared" ref="D5:D6" si="2">AVERAGE(B5:C5)</f>
        <v>72.85499999999999</v>
      </c>
      <c r="E5">
        <v>0.5</v>
      </c>
      <c r="F5" s="28">
        <f t="shared" ref="F5:F6" si="3">(1.854*E5)/((D5*0.001)^2)</f>
        <v>174.64695139969575</v>
      </c>
      <c r="G5" t="s">
        <v>76</v>
      </c>
      <c r="M5">
        <f t="shared" si="0"/>
        <v>2.6539255124999987E-3</v>
      </c>
      <c r="N5">
        <f t="shared" si="1"/>
        <v>4.9050000000000002</v>
      </c>
      <c r="O5">
        <f t="shared" ref="O5:O13" si="4">N5/M5</f>
        <v>1848.2056021909555</v>
      </c>
      <c r="P5">
        <f t="shared" ref="P5:P13" si="5">0.927*O5</f>
        <v>1713.2865932310158</v>
      </c>
      <c r="Q5">
        <f t="shared" ref="Q5:Q13" si="6">(0.383*P5)-182.3</f>
        <v>473.88876520747903</v>
      </c>
    </row>
    <row r="6" spans="1:17" x14ac:dyDescent="0.25">
      <c r="A6">
        <v>3</v>
      </c>
      <c r="B6">
        <v>70.489999999999995</v>
      </c>
      <c r="C6">
        <v>74.78</v>
      </c>
      <c r="D6">
        <f t="shared" si="2"/>
        <v>72.634999999999991</v>
      </c>
      <c r="E6">
        <v>0.5</v>
      </c>
      <c r="F6" s="28">
        <f t="shared" si="3"/>
        <v>175.70650992950996</v>
      </c>
      <c r="G6" t="s">
        <v>76</v>
      </c>
      <c r="M6">
        <f t="shared" si="0"/>
        <v>2.6379216124999987E-3</v>
      </c>
      <c r="N6">
        <f t="shared" si="1"/>
        <v>4.9050000000000002</v>
      </c>
      <c r="O6">
        <f t="shared" si="4"/>
        <v>1859.4184060501543</v>
      </c>
      <c r="P6">
        <f t="shared" si="5"/>
        <v>1723.6808624084931</v>
      </c>
      <c r="Q6">
        <f t="shared" si="6"/>
        <v>477.86977030245288</v>
      </c>
    </row>
    <row r="7" spans="1:17" x14ac:dyDescent="0.25">
      <c r="A7">
        <v>4</v>
      </c>
      <c r="B7">
        <v>75.099999999999994</v>
      </c>
      <c r="C7">
        <v>68.739999999999995</v>
      </c>
      <c r="D7">
        <f t="shared" ref="D7:D14" si="7">AVERAGE(B7:C7)</f>
        <v>71.919999999999987</v>
      </c>
      <c r="E7">
        <v>0.5</v>
      </c>
      <c r="F7" s="28">
        <f t="shared" ref="F7:F14" si="8">(1.854*E7)/((D7*0.001)^2)</f>
        <v>179.21748426443429</v>
      </c>
      <c r="M7">
        <f t="shared" si="0"/>
        <v>2.5862431999999986E-3</v>
      </c>
      <c r="N7">
        <f t="shared" si="1"/>
        <v>4.9050000000000002</v>
      </c>
      <c r="O7">
        <f t="shared" si="4"/>
        <v>1896.5733771673147</v>
      </c>
      <c r="P7">
        <f t="shared" si="5"/>
        <v>1758.1235206341007</v>
      </c>
      <c r="Q7">
        <f t="shared" si="6"/>
        <v>491.06130840286056</v>
      </c>
    </row>
    <row r="8" spans="1:17" x14ac:dyDescent="0.25">
      <c r="A8">
        <v>5</v>
      </c>
      <c r="B8">
        <v>83.37</v>
      </c>
      <c r="C8">
        <v>79.94</v>
      </c>
      <c r="D8">
        <f t="shared" si="7"/>
        <v>81.655000000000001</v>
      </c>
      <c r="E8">
        <v>0.5</v>
      </c>
      <c r="F8" s="28">
        <f t="shared" si="8"/>
        <v>139.03180716666296</v>
      </c>
      <c r="M8">
        <f t="shared" si="0"/>
        <v>3.3337695124999998E-3</v>
      </c>
      <c r="N8">
        <f t="shared" si="1"/>
        <v>4.9050000000000002</v>
      </c>
      <c r="O8">
        <f t="shared" si="4"/>
        <v>1471.3074738996374</v>
      </c>
      <c r="P8">
        <f t="shared" si="5"/>
        <v>1363.902028304964</v>
      </c>
      <c r="Q8">
        <f t="shared" si="6"/>
        <v>340.0744768408012</v>
      </c>
    </row>
    <row r="9" spans="1:17" x14ac:dyDescent="0.25">
      <c r="A9">
        <v>6</v>
      </c>
      <c r="B9">
        <v>72.239999999999995</v>
      </c>
      <c r="C9">
        <v>72.209999999999994</v>
      </c>
      <c r="D9">
        <f t="shared" si="7"/>
        <v>72.224999999999994</v>
      </c>
      <c r="E9">
        <v>0.5</v>
      </c>
      <c r="F9" s="28">
        <f t="shared" si="8"/>
        <v>177.70704002398185</v>
      </c>
      <c r="M9">
        <f t="shared" si="0"/>
        <v>2.6082253124999994E-3</v>
      </c>
      <c r="N9">
        <f t="shared" si="1"/>
        <v>4.9050000000000002</v>
      </c>
      <c r="O9">
        <f t="shared" si="4"/>
        <v>1880.5890643314585</v>
      </c>
      <c r="P9">
        <f t="shared" si="5"/>
        <v>1743.3060626352622</v>
      </c>
      <c r="Q9">
        <f t="shared" si="6"/>
        <v>485.3862219893054</v>
      </c>
    </row>
    <row r="10" spans="1:17" x14ac:dyDescent="0.25">
      <c r="A10">
        <v>7</v>
      </c>
      <c r="B10">
        <v>70.25</v>
      </c>
      <c r="C10">
        <v>70.459999999999994</v>
      </c>
      <c r="D10">
        <f t="shared" si="7"/>
        <v>70.35499999999999</v>
      </c>
      <c r="E10">
        <v>0.5</v>
      </c>
      <c r="F10" s="28">
        <f t="shared" si="8"/>
        <v>187.27930947835696</v>
      </c>
      <c r="M10">
        <f t="shared" si="0"/>
        <v>2.4749130124999989E-3</v>
      </c>
      <c r="N10">
        <f t="shared" si="1"/>
        <v>4.9050000000000002</v>
      </c>
      <c r="O10">
        <f t="shared" si="4"/>
        <v>1981.8878381690204</v>
      </c>
      <c r="P10">
        <f t="shared" si="5"/>
        <v>1837.2100259826821</v>
      </c>
      <c r="Q10">
        <f t="shared" si="6"/>
        <v>521.35143995136718</v>
      </c>
    </row>
    <row r="11" spans="1:17" x14ac:dyDescent="0.25">
      <c r="A11">
        <v>8</v>
      </c>
      <c r="B11">
        <v>80.56</v>
      </c>
      <c r="C11">
        <v>74.66</v>
      </c>
      <c r="D11">
        <f t="shared" si="7"/>
        <v>77.61</v>
      </c>
      <c r="E11">
        <v>0.5</v>
      </c>
      <c r="F11" s="28">
        <f t="shared" si="8"/>
        <v>153.90203672162366</v>
      </c>
      <c r="M11">
        <f t="shared" si="0"/>
        <v>3.0116560499999999E-3</v>
      </c>
      <c r="N11">
        <f t="shared" si="1"/>
        <v>4.9050000000000002</v>
      </c>
      <c r="O11">
        <f t="shared" si="4"/>
        <v>1628.6720390929104</v>
      </c>
      <c r="P11">
        <f t="shared" si="5"/>
        <v>1509.778980239128</v>
      </c>
      <c r="Q11">
        <f t="shared" si="6"/>
        <v>395.94534943158607</v>
      </c>
    </row>
    <row r="12" spans="1:17" x14ac:dyDescent="0.25">
      <c r="A12">
        <v>9</v>
      </c>
      <c r="B12">
        <v>71.17</v>
      </c>
      <c r="C12">
        <v>72.34</v>
      </c>
      <c r="D12">
        <f t="shared" si="7"/>
        <v>71.754999999999995</v>
      </c>
      <c r="E12">
        <v>0.5</v>
      </c>
      <c r="F12" s="28">
        <f t="shared" si="8"/>
        <v>180.04265000620222</v>
      </c>
      <c r="M12">
        <f t="shared" si="0"/>
        <v>2.5743900124999995E-3</v>
      </c>
      <c r="N12">
        <f t="shared" si="1"/>
        <v>4.9050000000000002</v>
      </c>
      <c r="O12">
        <f t="shared" si="4"/>
        <v>1905.3057136578684</v>
      </c>
      <c r="P12">
        <f t="shared" si="5"/>
        <v>1766.2183965608442</v>
      </c>
      <c r="Q12">
        <f t="shared" si="6"/>
        <v>494.16164588280338</v>
      </c>
    </row>
    <row r="13" spans="1:17" x14ac:dyDescent="0.25">
      <c r="A13">
        <v>10</v>
      </c>
      <c r="B13">
        <v>78.09</v>
      </c>
      <c r="C13">
        <v>74.52</v>
      </c>
      <c r="D13">
        <f t="shared" si="7"/>
        <v>76.305000000000007</v>
      </c>
      <c r="E13">
        <v>0.5</v>
      </c>
      <c r="F13" s="28">
        <f t="shared" si="8"/>
        <v>159.21124584770689</v>
      </c>
      <c r="M13">
        <f t="shared" si="0"/>
        <v>2.9112265125000006E-3</v>
      </c>
      <c r="N13">
        <f t="shared" si="1"/>
        <v>4.9050000000000002</v>
      </c>
      <c r="O13">
        <f t="shared" si="4"/>
        <v>1684.8568735339859</v>
      </c>
      <c r="P13">
        <f t="shared" si="5"/>
        <v>1561.8623217660049</v>
      </c>
      <c r="Q13">
        <f t="shared" si="6"/>
        <v>415.89326923637992</v>
      </c>
    </row>
    <row r="14" spans="1:17" x14ac:dyDescent="0.25">
      <c r="A14">
        <v>11</v>
      </c>
      <c r="B14">
        <v>73.739999999999995</v>
      </c>
      <c r="C14">
        <v>69.11</v>
      </c>
      <c r="D14">
        <f t="shared" si="7"/>
        <v>71.424999999999997</v>
      </c>
      <c r="E14">
        <v>0.5</v>
      </c>
      <c r="F14" s="28">
        <f t="shared" si="8"/>
        <v>181.71017056278083</v>
      </c>
      <c r="P14" s="1" t="s">
        <v>86</v>
      </c>
      <c r="Q14" s="1">
        <f>AVERAGE(Q4:Q13)</f>
        <v>457.41386983071214</v>
      </c>
    </row>
    <row r="15" spans="1:17" x14ac:dyDescent="0.25">
      <c r="E15" s="1" t="s">
        <v>20</v>
      </c>
      <c r="F15" s="29">
        <f>AVERAGE(F4:F14)</f>
        <v>171.30283365067828</v>
      </c>
      <c r="G15" s="1"/>
      <c r="H15" s="1" t="s">
        <v>21</v>
      </c>
      <c r="I15" s="1">
        <f>F15/0.3</f>
        <v>571.00944550226097</v>
      </c>
      <c r="J15" s="1"/>
      <c r="K15" s="1"/>
      <c r="L15" s="1"/>
      <c r="M15" s="1"/>
      <c r="N15" s="1"/>
    </row>
    <row r="16" spans="1:17" x14ac:dyDescent="0.25">
      <c r="E16" s="1" t="s">
        <v>87</v>
      </c>
      <c r="F16" s="8">
        <f>_xlfn.STDEV.P(F4:F14)</f>
        <v>13.76921064980816</v>
      </c>
      <c r="G16" s="1"/>
      <c r="H16" s="1"/>
      <c r="I16" s="1"/>
      <c r="J16" s="1"/>
      <c r="K16" s="1"/>
      <c r="L16" s="1"/>
      <c r="M16" s="1"/>
      <c r="N16" s="1"/>
    </row>
    <row r="17" spans="1:17" x14ac:dyDescent="0.25">
      <c r="A17" t="s">
        <v>101</v>
      </c>
      <c r="E17" s="1"/>
      <c r="F17" s="8"/>
      <c r="G17" s="1"/>
      <c r="H17" s="1"/>
      <c r="I17" s="1"/>
      <c r="J17" s="1"/>
      <c r="K17" s="1"/>
      <c r="L17" s="1"/>
      <c r="M17" s="1"/>
      <c r="N17" s="1"/>
    </row>
    <row r="18" spans="1:17" ht="30" x14ac:dyDescent="0.25">
      <c r="A18" s="31" t="s">
        <v>100</v>
      </c>
      <c r="B18" s="31" t="s">
        <v>4</v>
      </c>
      <c r="C18" s="31" t="s">
        <v>5</v>
      </c>
      <c r="D18" s="31" t="s">
        <v>6</v>
      </c>
      <c r="E18" s="31" t="s">
        <v>18</v>
      </c>
      <c r="F18" s="31" t="s">
        <v>17</v>
      </c>
      <c r="G18" s="1" t="s">
        <v>98</v>
      </c>
      <c r="H18" s="31" t="s">
        <v>2</v>
      </c>
      <c r="L18" s="1" t="s">
        <v>70</v>
      </c>
      <c r="M18" t="s">
        <v>63</v>
      </c>
      <c r="N18" t="s">
        <v>83</v>
      </c>
      <c r="O18" t="s">
        <v>84</v>
      </c>
      <c r="P18" t="s">
        <v>66</v>
      </c>
      <c r="Q18" t="s">
        <v>85</v>
      </c>
    </row>
    <row r="19" spans="1:17" x14ac:dyDescent="0.25">
      <c r="A19" s="1" t="s">
        <v>99</v>
      </c>
    </row>
    <row r="20" spans="1:17" x14ac:dyDescent="0.25">
      <c r="A20" s="26">
        <v>1</v>
      </c>
      <c r="B20" s="26">
        <v>77.19</v>
      </c>
      <c r="C20" s="26">
        <v>76.87</v>
      </c>
      <c r="D20" s="26">
        <f t="shared" ref="D20:D37" si="9">AVERAGE(B20:C20)</f>
        <v>77.03</v>
      </c>
      <c r="E20" s="26">
        <v>0.5</v>
      </c>
      <c r="F20" s="36">
        <f t="shared" ref="F20:F37" si="10">(1.854*E20)/((D20*0.001)^2)</f>
        <v>156.22838324571762</v>
      </c>
      <c r="G20" s="27">
        <v>46.78</v>
      </c>
      <c r="H20" t="s">
        <v>76</v>
      </c>
      <c r="M20">
        <f t="shared" ref="M20:M27" si="11">(D20*0.001/(2^0.5))^2</f>
        <v>2.9668104499999998E-3</v>
      </c>
      <c r="N20">
        <f t="shared" ref="N20:N27" si="12">E20*9.81</f>
        <v>4.9050000000000002</v>
      </c>
      <c r="O20">
        <f>N20/M20</f>
        <v>1653.2906576488567</v>
      </c>
      <c r="P20">
        <f>0.927*O20</f>
        <v>1532.6004396404903</v>
      </c>
      <c r="Q20">
        <f>(0.383*P20)-182.3</f>
        <v>404.68596838230775</v>
      </c>
    </row>
    <row r="21" spans="1:17" x14ac:dyDescent="0.25">
      <c r="A21" s="26">
        <v>2</v>
      </c>
      <c r="B21" s="26">
        <v>81.3</v>
      </c>
      <c r="C21" s="26">
        <v>80.2</v>
      </c>
      <c r="D21" s="26">
        <f t="shared" si="9"/>
        <v>80.75</v>
      </c>
      <c r="E21" s="26">
        <v>0.5</v>
      </c>
      <c r="F21" s="36">
        <f t="shared" si="10"/>
        <v>142.16564905251656</v>
      </c>
      <c r="G21" s="27">
        <v>44.07</v>
      </c>
      <c r="H21" t="s">
        <v>76</v>
      </c>
      <c r="M21">
        <f t="shared" si="11"/>
        <v>3.2602812499999997E-3</v>
      </c>
      <c r="N21">
        <f t="shared" si="12"/>
        <v>4.9050000000000002</v>
      </c>
      <c r="O21">
        <f t="shared" ref="O21:O27" si="13">N21/M21</f>
        <v>1504.4714317208065</v>
      </c>
      <c r="P21">
        <f t="shared" ref="P21:P27" si="14">0.927*O21</f>
        <v>1394.6450172051877</v>
      </c>
      <c r="Q21">
        <f t="shared" ref="Q21:Q27" si="15">(0.383*P21)-182.3</f>
        <v>351.84904158958688</v>
      </c>
    </row>
    <row r="22" spans="1:17" x14ac:dyDescent="0.25">
      <c r="A22" s="26">
        <v>3</v>
      </c>
      <c r="B22" s="26">
        <v>74.78</v>
      </c>
      <c r="C22" s="26">
        <v>74.760000000000005</v>
      </c>
      <c r="D22" s="26">
        <f t="shared" si="9"/>
        <v>74.77000000000001</v>
      </c>
      <c r="E22" s="26">
        <v>0.5</v>
      </c>
      <c r="F22" s="36">
        <f t="shared" si="10"/>
        <v>165.81544197533657</v>
      </c>
      <c r="G22" s="27">
        <v>54.24</v>
      </c>
      <c r="H22" t="s">
        <v>76</v>
      </c>
      <c r="M22">
        <f t="shared" si="11"/>
        <v>2.7952764500000006E-3</v>
      </c>
      <c r="N22">
        <f t="shared" si="12"/>
        <v>4.9050000000000002</v>
      </c>
      <c r="O22">
        <f t="shared" si="13"/>
        <v>1754.7459393506497</v>
      </c>
      <c r="P22">
        <f t="shared" si="14"/>
        <v>1626.6494857780524</v>
      </c>
      <c r="Q22">
        <f t="shared" si="15"/>
        <v>440.70675305299409</v>
      </c>
    </row>
    <row r="23" spans="1:17" x14ac:dyDescent="0.25">
      <c r="A23" s="26">
        <v>4</v>
      </c>
      <c r="B23" s="26">
        <v>74.06</v>
      </c>
      <c r="C23" s="26">
        <v>73.45</v>
      </c>
      <c r="D23" s="26">
        <f t="shared" si="9"/>
        <v>73.754999999999995</v>
      </c>
      <c r="E23" s="26">
        <v>0.5</v>
      </c>
      <c r="F23" s="36">
        <f t="shared" si="10"/>
        <v>170.41067607995387</v>
      </c>
      <c r="G23" s="27">
        <v>55.25</v>
      </c>
      <c r="H23" t="s">
        <v>76</v>
      </c>
      <c r="M23">
        <f t="shared" si="11"/>
        <v>2.7199000124999997E-3</v>
      </c>
      <c r="N23">
        <f t="shared" si="12"/>
        <v>4.9050000000000002</v>
      </c>
      <c r="O23">
        <f t="shared" si="13"/>
        <v>1803.3751157975705</v>
      </c>
      <c r="P23">
        <f t="shared" si="14"/>
        <v>1671.7287323443479</v>
      </c>
      <c r="Q23">
        <f t="shared" si="15"/>
        <v>457.97210448788525</v>
      </c>
    </row>
    <row r="24" spans="1:17" x14ac:dyDescent="0.25">
      <c r="A24" s="26">
        <v>5</v>
      </c>
      <c r="B24" s="26">
        <v>73.98</v>
      </c>
      <c r="C24" s="26">
        <v>76.47</v>
      </c>
      <c r="D24" s="26">
        <f t="shared" si="9"/>
        <v>75.224999999999994</v>
      </c>
      <c r="E24" s="26">
        <v>0.5</v>
      </c>
      <c r="F24" s="36">
        <f t="shared" si="10"/>
        <v>163.81563186810456</v>
      </c>
      <c r="G24" s="27">
        <v>51.53</v>
      </c>
      <c r="H24" t="s">
        <v>76</v>
      </c>
      <c r="M24">
        <f t="shared" si="11"/>
        <v>2.8294003124999995E-3</v>
      </c>
      <c r="N24">
        <f t="shared" si="12"/>
        <v>4.9050000000000002</v>
      </c>
      <c r="O24">
        <f t="shared" si="13"/>
        <v>1733.5829003517865</v>
      </c>
      <c r="P24">
        <f t="shared" si="14"/>
        <v>1607.0313486261061</v>
      </c>
      <c r="Q24">
        <f t="shared" si="15"/>
        <v>433.1930065237986</v>
      </c>
    </row>
    <row r="25" spans="1:17" x14ac:dyDescent="0.25">
      <c r="A25" s="26">
        <v>6</v>
      </c>
      <c r="B25" s="26">
        <v>73.47</v>
      </c>
      <c r="C25" s="26">
        <v>75.86</v>
      </c>
      <c r="D25" s="26">
        <f t="shared" si="9"/>
        <v>74.664999999999992</v>
      </c>
      <c r="E25" s="26">
        <v>0.5</v>
      </c>
      <c r="F25" s="36">
        <f t="shared" si="10"/>
        <v>166.2821362370081</v>
      </c>
      <c r="G25" s="27">
        <v>160.68</v>
      </c>
      <c r="H25" t="s">
        <v>76</v>
      </c>
      <c r="M25">
        <f t="shared" si="11"/>
        <v>2.7874311124999993E-3</v>
      </c>
      <c r="N25">
        <f t="shared" si="12"/>
        <v>4.9050000000000002</v>
      </c>
      <c r="O25">
        <f t="shared" si="13"/>
        <v>1759.684742702319</v>
      </c>
      <c r="P25">
        <f t="shared" si="14"/>
        <v>1631.2277564850499</v>
      </c>
      <c r="Q25">
        <f t="shared" si="15"/>
        <v>442.46023073377415</v>
      </c>
    </row>
    <row r="26" spans="1:17" x14ac:dyDescent="0.25">
      <c r="A26" s="26">
        <v>7</v>
      </c>
      <c r="B26" s="26">
        <v>72.349999999999994</v>
      </c>
      <c r="C26" s="26">
        <v>72.739999999999995</v>
      </c>
      <c r="D26" s="26">
        <f t="shared" si="9"/>
        <v>72.544999999999987</v>
      </c>
      <c r="E26" s="26">
        <v>0.5</v>
      </c>
      <c r="F26" s="36">
        <f t="shared" si="10"/>
        <v>176.1427466138945</v>
      </c>
      <c r="G26" s="27">
        <v>361.92</v>
      </c>
      <c r="H26" t="s">
        <v>76</v>
      </c>
      <c r="M26">
        <f t="shared" si="11"/>
        <v>2.6313885124999987E-3</v>
      </c>
      <c r="N26">
        <f t="shared" si="12"/>
        <v>4.9050000000000002</v>
      </c>
      <c r="O26">
        <f t="shared" si="13"/>
        <v>1864.0348913509224</v>
      </c>
      <c r="P26">
        <f t="shared" si="14"/>
        <v>1727.9603442823052</v>
      </c>
      <c r="Q26">
        <f t="shared" si="15"/>
        <v>479.50881186012288</v>
      </c>
    </row>
    <row r="27" spans="1:17" x14ac:dyDescent="0.25">
      <c r="A27" s="26">
        <v>8</v>
      </c>
      <c r="B27" s="26">
        <v>74.11</v>
      </c>
      <c r="C27" s="26">
        <v>74.959999999999994</v>
      </c>
      <c r="D27" s="26">
        <f t="shared" si="9"/>
        <v>74.534999999999997</v>
      </c>
      <c r="E27" s="26">
        <v>0.5</v>
      </c>
      <c r="F27" s="36">
        <f t="shared" si="10"/>
        <v>166.86268306851238</v>
      </c>
      <c r="G27" s="27">
        <v>574</v>
      </c>
      <c r="H27" t="s">
        <v>76</v>
      </c>
      <c r="M27">
        <f t="shared" si="11"/>
        <v>2.7777331124999999E-3</v>
      </c>
      <c r="N27">
        <f t="shared" si="12"/>
        <v>4.9050000000000002</v>
      </c>
      <c r="O27">
        <f t="shared" si="13"/>
        <v>1765.8283936376556</v>
      </c>
      <c r="P27">
        <f t="shared" si="14"/>
        <v>1636.9229209021069</v>
      </c>
      <c r="Q27">
        <f t="shared" si="15"/>
        <v>444.64147870550693</v>
      </c>
    </row>
    <row r="28" spans="1:17" x14ac:dyDescent="0.25">
      <c r="A28" s="26">
        <v>9</v>
      </c>
      <c r="B28" s="26">
        <v>72.760000000000005</v>
      </c>
      <c r="C28" s="26">
        <v>73.75</v>
      </c>
      <c r="D28" s="26">
        <f t="shared" si="9"/>
        <v>73.254999999999995</v>
      </c>
      <c r="E28" s="26">
        <v>0.5</v>
      </c>
      <c r="F28" s="36">
        <f t="shared" si="10"/>
        <v>172.74488183772564</v>
      </c>
      <c r="G28" s="27">
        <v>751</v>
      </c>
      <c r="H28" t="s">
        <v>76</v>
      </c>
    </row>
    <row r="29" spans="1:17" x14ac:dyDescent="0.25">
      <c r="A29" s="26">
        <v>10</v>
      </c>
      <c r="B29" s="26">
        <v>74.27</v>
      </c>
      <c r="C29" s="26">
        <v>74.27</v>
      </c>
      <c r="D29" s="26">
        <f t="shared" si="9"/>
        <v>74.27</v>
      </c>
      <c r="E29" s="26">
        <v>0.5</v>
      </c>
      <c r="F29" s="36">
        <f t="shared" si="10"/>
        <v>168.05556036476867</v>
      </c>
      <c r="G29" s="27">
        <v>964</v>
      </c>
      <c r="H29" t="s">
        <v>76</v>
      </c>
    </row>
    <row r="30" spans="1:17" x14ac:dyDescent="0.25">
      <c r="A30" s="26">
        <v>11</v>
      </c>
      <c r="B30" s="26">
        <v>72.75</v>
      </c>
      <c r="C30" s="26">
        <v>71.59</v>
      </c>
      <c r="D30" s="26">
        <f t="shared" si="9"/>
        <v>72.17</v>
      </c>
      <c r="E30" s="26">
        <v>0.5</v>
      </c>
      <c r="F30" s="36">
        <f t="shared" si="10"/>
        <v>177.97800057517424</v>
      </c>
      <c r="G30" s="27">
        <v>1119</v>
      </c>
      <c r="H30" t="s">
        <v>76</v>
      </c>
    </row>
    <row r="31" spans="1:17" x14ac:dyDescent="0.25">
      <c r="A31" s="26">
        <v>12</v>
      </c>
      <c r="B31" s="26">
        <v>71.44</v>
      </c>
      <c r="C31" s="26">
        <v>72.94</v>
      </c>
      <c r="D31" s="26">
        <f t="shared" si="9"/>
        <v>72.19</v>
      </c>
      <c r="E31" s="26">
        <v>0.5</v>
      </c>
      <c r="F31" s="36">
        <f t="shared" si="10"/>
        <v>177.87939780666451</v>
      </c>
      <c r="G31" s="27">
        <v>1309</v>
      </c>
      <c r="H31" t="s">
        <v>76</v>
      </c>
    </row>
    <row r="32" spans="1:17" x14ac:dyDescent="0.25">
      <c r="A32" s="26">
        <v>13</v>
      </c>
      <c r="B32" s="26">
        <v>71.75</v>
      </c>
      <c r="C32" s="26">
        <v>73.64</v>
      </c>
      <c r="D32" s="26">
        <f t="shared" si="9"/>
        <v>72.694999999999993</v>
      </c>
      <c r="E32" s="26">
        <v>0.5</v>
      </c>
      <c r="F32" s="36">
        <f t="shared" si="10"/>
        <v>175.41658517735252</v>
      </c>
      <c r="G32" s="27">
        <v>1491</v>
      </c>
      <c r="H32" t="s">
        <v>76</v>
      </c>
    </row>
    <row r="33" spans="1:17" x14ac:dyDescent="0.25">
      <c r="A33" s="26">
        <v>14</v>
      </c>
      <c r="B33" s="26">
        <v>72.67</v>
      </c>
      <c r="C33" s="26">
        <v>73.48</v>
      </c>
      <c r="D33" s="26">
        <f t="shared" si="9"/>
        <v>73.075000000000003</v>
      </c>
      <c r="E33" s="26">
        <v>0.5</v>
      </c>
      <c r="F33" s="36">
        <f t="shared" si="10"/>
        <v>173.59694819561352</v>
      </c>
      <c r="G33" s="27">
        <v>1674</v>
      </c>
      <c r="H33" t="s">
        <v>76</v>
      </c>
    </row>
    <row r="34" spans="1:17" x14ac:dyDescent="0.25">
      <c r="A34" s="26">
        <v>15</v>
      </c>
      <c r="B34" s="26">
        <v>76.489999999999995</v>
      </c>
      <c r="C34" s="26">
        <v>76.7</v>
      </c>
      <c r="D34" s="26">
        <f t="shared" si="9"/>
        <v>76.594999999999999</v>
      </c>
      <c r="E34" s="26">
        <v>0.5</v>
      </c>
      <c r="F34" s="36">
        <f t="shared" si="10"/>
        <v>158.00793347266017</v>
      </c>
      <c r="G34" s="27">
        <v>1865</v>
      </c>
      <c r="H34" t="s">
        <v>76</v>
      </c>
    </row>
    <row r="35" spans="1:17" x14ac:dyDescent="0.25">
      <c r="A35" s="26">
        <v>16</v>
      </c>
      <c r="B35" s="26">
        <v>74.319999999999993</v>
      </c>
      <c r="C35" s="26">
        <v>74.92</v>
      </c>
      <c r="D35" s="26">
        <f t="shared" si="9"/>
        <v>74.62</v>
      </c>
      <c r="E35" s="26">
        <v>0.5</v>
      </c>
      <c r="F35" s="36">
        <f t="shared" si="10"/>
        <v>166.48275141715072</v>
      </c>
      <c r="G35" s="27">
        <v>5900</v>
      </c>
      <c r="H35" t="s">
        <v>76</v>
      </c>
    </row>
    <row r="36" spans="1:17" x14ac:dyDescent="0.25">
      <c r="A36" s="26">
        <v>17</v>
      </c>
      <c r="B36" s="26">
        <v>73.81</v>
      </c>
      <c r="C36" s="26">
        <v>74.53</v>
      </c>
      <c r="D36" s="26">
        <f t="shared" si="9"/>
        <v>74.17</v>
      </c>
      <c r="E36" s="26">
        <v>0.5</v>
      </c>
      <c r="F36" s="36">
        <f t="shared" si="10"/>
        <v>168.50902902098127</v>
      </c>
      <c r="G36" s="27">
        <v>8248</v>
      </c>
      <c r="H36" t="s">
        <v>76</v>
      </c>
    </row>
    <row r="37" spans="1:17" x14ac:dyDescent="0.25">
      <c r="A37" s="26">
        <v>18</v>
      </c>
      <c r="B37" s="26">
        <v>74.5</v>
      </c>
      <c r="C37" s="26">
        <v>75.319999999999993</v>
      </c>
      <c r="D37" s="26">
        <f t="shared" si="9"/>
        <v>74.91</v>
      </c>
      <c r="E37" s="26">
        <v>0.5</v>
      </c>
      <c r="F37" s="36">
        <f t="shared" si="10"/>
        <v>165.19623307680871</v>
      </c>
      <c r="G37" s="27">
        <v>8486</v>
      </c>
      <c r="H37" t="s">
        <v>76</v>
      </c>
    </row>
    <row r="38" spans="1:17" x14ac:dyDescent="0.25">
      <c r="A38" s="26"/>
      <c r="E38" s="1" t="s">
        <v>20</v>
      </c>
      <c r="F38" s="1">
        <f>AVERAGE(F20:F37)</f>
        <v>167.3105927269969</v>
      </c>
      <c r="H38" s="1" t="s">
        <v>21</v>
      </c>
      <c r="I38" s="29">
        <f>F38/0.3</f>
        <v>557.70197575665634</v>
      </c>
      <c r="L38" s="1" t="s">
        <v>20</v>
      </c>
      <c r="Q38" s="1">
        <f>AVERAGE(Q20:Q37)</f>
        <v>431.87717441699704</v>
      </c>
    </row>
    <row r="39" spans="1:17" x14ac:dyDescent="0.25">
      <c r="E39" s="1" t="s">
        <v>87</v>
      </c>
      <c r="F39" s="8">
        <f>_xlfn.STDEV.P(F20:F37)</f>
        <v>8.5386254188396471</v>
      </c>
    </row>
    <row r="40" spans="1:17" x14ac:dyDescent="0.25">
      <c r="F40" s="1" t="s">
        <v>98</v>
      </c>
      <c r="G40" s="31" t="s">
        <v>17</v>
      </c>
    </row>
    <row r="41" spans="1:17" x14ac:dyDescent="0.25">
      <c r="F41">
        <v>50</v>
      </c>
      <c r="G41" s="28">
        <f>AVERAGE(F20:F24)</f>
        <v>159.68715644432584</v>
      </c>
    </row>
    <row r="42" spans="1:17" x14ac:dyDescent="0.25">
      <c r="F42">
        <v>160.68</v>
      </c>
      <c r="G42" s="28">
        <v>166.2821362370081</v>
      </c>
    </row>
    <row r="43" spans="1:17" x14ac:dyDescent="0.25">
      <c r="F43">
        <v>361.92</v>
      </c>
      <c r="G43" s="28">
        <v>176.1427466138945</v>
      </c>
    </row>
    <row r="44" spans="1:17" x14ac:dyDescent="0.25">
      <c r="F44">
        <v>574</v>
      </c>
      <c r="G44" s="28">
        <v>166.86268306851238</v>
      </c>
    </row>
    <row r="45" spans="1:17" x14ac:dyDescent="0.25">
      <c r="F45">
        <v>751</v>
      </c>
      <c r="G45" s="28">
        <v>172.74488183772564</v>
      </c>
    </row>
    <row r="46" spans="1:17" x14ac:dyDescent="0.25">
      <c r="F46">
        <v>964</v>
      </c>
      <c r="G46" s="28">
        <v>168.05556036476867</v>
      </c>
    </row>
    <row r="47" spans="1:17" x14ac:dyDescent="0.25">
      <c r="F47">
        <v>1119</v>
      </c>
      <c r="G47" s="28">
        <v>177.97800057517424</v>
      </c>
    </row>
    <row r="48" spans="1:17" x14ac:dyDescent="0.25">
      <c r="F48">
        <v>1309</v>
      </c>
      <c r="G48" s="28">
        <v>177.87939780666451</v>
      </c>
    </row>
    <row r="49" spans="6:7" x14ac:dyDescent="0.25">
      <c r="F49">
        <v>1491</v>
      </c>
      <c r="G49" s="28">
        <v>175.41658517735252</v>
      </c>
    </row>
    <row r="50" spans="6:7" x14ac:dyDescent="0.25">
      <c r="F50">
        <v>1674</v>
      </c>
      <c r="G50" s="28">
        <v>173.59694819561352</v>
      </c>
    </row>
    <row r="51" spans="6:7" x14ac:dyDescent="0.25">
      <c r="F51">
        <v>1865</v>
      </c>
      <c r="G51" s="28">
        <v>158.00793347266017</v>
      </c>
    </row>
    <row r="52" spans="6:7" x14ac:dyDescent="0.25">
      <c r="F52">
        <v>5900</v>
      </c>
      <c r="G52" s="28">
        <v>166.48275141715072</v>
      </c>
    </row>
    <row r="53" spans="6:7" x14ac:dyDescent="0.25">
      <c r="F53">
        <v>8248</v>
      </c>
      <c r="G53" s="28">
        <v>168.50902902098127</v>
      </c>
    </row>
    <row r="54" spans="6:7" x14ac:dyDescent="0.25">
      <c r="F54">
        <v>8486</v>
      </c>
      <c r="G54" s="28">
        <v>165.19623307680871</v>
      </c>
    </row>
    <row r="55" spans="6:7" x14ac:dyDescent="0.25">
      <c r="F55" s="1" t="s">
        <v>20</v>
      </c>
      <c r="G55" s="29">
        <f>AVERAGE(G41:G54)</f>
        <v>169.48871737918861</v>
      </c>
    </row>
    <row r="56" spans="6:7" x14ac:dyDescent="0.25">
      <c r="F56" s="1" t="s">
        <v>87</v>
      </c>
      <c r="G56" s="8">
        <f>_xlfn.STDEV.P(G41:G54)</f>
        <v>6.1231383886820572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opLeftCell="D1" zoomScale="115" zoomScaleNormal="115" workbookViewId="0">
      <selection activeCell="F4" sqref="F4:F11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6" width="10.42578125" customWidth="1"/>
    <col min="7" max="7" width="35.140625" bestFit="1" customWidth="1"/>
    <col min="8" max="8" width="30.28515625" bestFit="1" customWidth="1"/>
    <col min="16" max="16" width="11" bestFit="1" customWidth="1"/>
  </cols>
  <sheetData>
    <row r="1" spans="1:17" x14ac:dyDescent="0.25">
      <c r="A1" t="s">
        <v>104</v>
      </c>
      <c r="D1" t="s">
        <v>111</v>
      </c>
    </row>
    <row r="2" spans="1:17" ht="30" x14ac:dyDescent="0.25">
      <c r="A2" s="31" t="s">
        <v>3</v>
      </c>
      <c r="B2" s="31" t="s">
        <v>4</v>
      </c>
      <c r="C2" s="31" t="s">
        <v>5</v>
      </c>
      <c r="D2" s="31" t="s">
        <v>6</v>
      </c>
      <c r="E2" s="31" t="s">
        <v>18</v>
      </c>
      <c r="F2" s="31" t="s">
        <v>17</v>
      </c>
      <c r="G2" s="31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" t="s">
        <v>1</v>
      </c>
    </row>
    <row r="4" spans="1:17" x14ac:dyDescent="0.25">
      <c r="A4">
        <v>1</v>
      </c>
      <c r="B4">
        <v>67.16</v>
      </c>
      <c r="C4">
        <v>67.33</v>
      </c>
      <c r="D4">
        <f>AVERAGE(B4:C4)</f>
        <v>67.245000000000005</v>
      </c>
      <c r="E4">
        <v>0.5</v>
      </c>
      <c r="F4" s="28">
        <f>(1.854*E4)/((D4*0.001)^2)</f>
        <v>205.00277425477637</v>
      </c>
      <c r="G4" t="s">
        <v>76</v>
      </c>
      <c r="M4">
        <f t="shared" ref="M4:M11" si="0">(D4*0.001/(2^0.5))^2</f>
        <v>2.2609450125E-3</v>
      </c>
      <c r="N4">
        <f t="shared" ref="N4:N11" si="1">E4*9.81</f>
        <v>4.9050000000000002</v>
      </c>
      <c r="O4">
        <f>N4/M4</f>
        <v>2169.4468343466624</v>
      </c>
      <c r="P4">
        <f>0.927*O4</f>
        <v>2011.0772154393562</v>
      </c>
      <c r="Q4">
        <f>(0.383*P4)-182.3</f>
        <v>587.94257351327337</v>
      </c>
    </row>
    <row r="5" spans="1:17" x14ac:dyDescent="0.25">
      <c r="A5">
        <v>2</v>
      </c>
      <c r="B5">
        <v>71.41</v>
      </c>
      <c r="C5">
        <v>69.400000000000006</v>
      </c>
      <c r="D5">
        <f t="shared" ref="D5:D11" si="2">AVERAGE(B5:C5)</f>
        <v>70.405000000000001</v>
      </c>
      <c r="E5">
        <v>0.5</v>
      </c>
      <c r="F5" s="28">
        <f t="shared" ref="F5:F11" si="3">(1.854*E5)/((D5*0.001)^2)</f>
        <v>187.01340107871928</v>
      </c>
      <c r="G5" t="s">
        <v>76</v>
      </c>
      <c r="M5">
        <f t="shared" si="0"/>
        <v>2.4784320125000006E-3</v>
      </c>
      <c r="N5">
        <f t="shared" si="1"/>
        <v>4.9050000000000002</v>
      </c>
      <c r="O5">
        <f t="shared" ref="O5:O11" si="4">N5/M5</f>
        <v>1979.0738560757673</v>
      </c>
      <c r="P5">
        <f t="shared" ref="P5:P11" si="5">0.927*O5</f>
        <v>1834.6014645822363</v>
      </c>
      <c r="Q5">
        <f t="shared" ref="Q5:Q11" si="6">(0.383*P5)-182.3</f>
        <v>520.35236093499657</v>
      </c>
    </row>
    <row r="6" spans="1:17" x14ac:dyDescent="0.25">
      <c r="A6">
        <v>3</v>
      </c>
      <c r="B6">
        <v>69.98</v>
      </c>
      <c r="C6">
        <v>73.63</v>
      </c>
      <c r="D6">
        <f t="shared" si="2"/>
        <v>71.805000000000007</v>
      </c>
      <c r="E6">
        <v>0.5</v>
      </c>
      <c r="F6" s="28">
        <f t="shared" si="3"/>
        <v>179.79199898548435</v>
      </c>
      <c r="G6" t="s">
        <v>76</v>
      </c>
      <c r="M6">
        <f t="shared" si="0"/>
        <v>2.5779790125000004E-3</v>
      </c>
      <c r="N6">
        <f t="shared" si="1"/>
        <v>4.9050000000000002</v>
      </c>
      <c r="O6">
        <f t="shared" si="4"/>
        <v>1902.6531931473587</v>
      </c>
      <c r="P6">
        <f t="shared" si="5"/>
        <v>1763.7595100476017</v>
      </c>
      <c r="Q6">
        <f t="shared" si="6"/>
        <v>493.21989234823144</v>
      </c>
    </row>
    <row r="7" spans="1:17" x14ac:dyDescent="0.25">
      <c r="A7">
        <v>4</v>
      </c>
      <c r="B7">
        <v>69.069999999999993</v>
      </c>
      <c r="C7">
        <v>71.13</v>
      </c>
      <c r="D7">
        <f t="shared" si="2"/>
        <v>70.099999999999994</v>
      </c>
      <c r="E7">
        <v>0.5</v>
      </c>
      <c r="F7" s="28">
        <f t="shared" si="3"/>
        <v>188.64430475314464</v>
      </c>
      <c r="M7">
        <f t="shared" si="0"/>
        <v>2.4570049999999995E-3</v>
      </c>
      <c r="N7">
        <f t="shared" si="1"/>
        <v>4.9050000000000002</v>
      </c>
      <c r="O7">
        <f t="shared" si="4"/>
        <v>1996.332933795414</v>
      </c>
      <c r="P7">
        <f t="shared" si="5"/>
        <v>1850.6006296283488</v>
      </c>
      <c r="Q7">
        <f t="shared" si="6"/>
        <v>526.48004114765763</v>
      </c>
    </row>
    <row r="8" spans="1:17" x14ac:dyDescent="0.25">
      <c r="A8">
        <v>5</v>
      </c>
      <c r="B8">
        <v>71.599999999999994</v>
      </c>
      <c r="C8">
        <v>71.599999999999994</v>
      </c>
      <c r="D8">
        <f t="shared" si="2"/>
        <v>71.599999999999994</v>
      </c>
      <c r="E8">
        <v>0.5</v>
      </c>
      <c r="F8" s="28">
        <f t="shared" si="3"/>
        <v>180.82300802097316</v>
      </c>
      <c r="M8">
        <f t="shared" si="0"/>
        <v>2.5632799999999994E-3</v>
      </c>
      <c r="N8">
        <f t="shared" si="1"/>
        <v>4.9050000000000002</v>
      </c>
      <c r="O8">
        <f t="shared" si="4"/>
        <v>1913.5638712899104</v>
      </c>
      <c r="P8">
        <f t="shared" si="5"/>
        <v>1773.873708685747</v>
      </c>
      <c r="Q8">
        <f t="shared" si="6"/>
        <v>497.09363042664114</v>
      </c>
    </row>
    <row r="9" spans="1:17" x14ac:dyDescent="0.25">
      <c r="A9">
        <v>6</v>
      </c>
      <c r="B9">
        <v>68.83</v>
      </c>
      <c r="C9">
        <v>70.55</v>
      </c>
      <c r="D9">
        <f t="shared" si="2"/>
        <v>69.69</v>
      </c>
      <c r="E9">
        <v>0.5</v>
      </c>
      <c r="F9" s="28">
        <f t="shared" si="3"/>
        <v>190.87049733253846</v>
      </c>
      <c r="M9">
        <f t="shared" si="0"/>
        <v>2.4283480499999997E-3</v>
      </c>
      <c r="N9">
        <f t="shared" si="1"/>
        <v>4.9050000000000002</v>
      </c>
      <c r="O9">
        <f t="shared" si="4"/>
        <v>2019.8916708006502</v>
      </c>
      <c r="P9">
        <f t="shared" si="5"/>
        <v>1872.4395788322029</v>
      </c>
      <c r="Q9">
        <f t="shared" si="6"/>
        <v>534.84435869273375</v>
      </c>
    </row>
    <row r="10" spans="1:17" x14ac:dyDescent="0.25">
      <c r="A10">
        <v>7</v>
      </c>
      <c r="B10">
        <v>71.2</v>
      </c>
      <c r="C10">
        <v>70.38</v>
      </c>
      <c r="D10">
        <f t="shared" si="2"/>
        <v>70.789999999999992</v>
      </c>
      <c r="E10">
        <v>0.5</v>
      </c>
      <c r="F10" s="28">
        <f t="shared" si="3"/>
        <v>184.98474255022845</v>
      </c>
      <c r="M10">
        <f t="shared" si="0"/>
        <v>2.5056120499999993E-3</v>
      </c>
      <c r="N10">
        <f t="shared" si="1"/>
        <v>4.9050000000000002</v>
      </c>
      <c r="O10">
        <f t="shared" si="4"/>
        <v>1957.6055279587283</v>
      </c>
      <c r="P10">
        <f t="shared" si="5"/>
        <v>1814.7003244177413</v>
      </c>
      <c r="Q10">
        <f t="shared" si="6"/>
        <v>512.73022425199497</v>
      </c>
    </row>
    <row r="11" spans="1:17" x14ac:dyDescent="0.25">
      <c r="A11">
        <v>8</v>
      </c>
      <c r="B11">
        <v>69.290000000000006</v>
      </c>
      <c r="C11">
        <v>70.97</v>
      </c>
      <c r="D11">
        <f t="shared" si="2"/>
        <v>70.13</v>
      </c>
      <c r="E11">
        <v>0.5</v>
      </c>
      <c r="F11" s="28">
        <f t="shared" si="3"/>
        <v>188.48294388968492</v>
      </c>
      <c r="M11">
        <f t="shared" si="0"/>
        <v>2.4591084499999993E-3</v>
      </c>
      <c r="N11">
        <f t="shared" si="1"/>
        <v>4.9050000000000002</v>
      </c>
      <c r="O11">
        <f t="shared" si="4"/>
        <v>1994.6253285413263</v>
      </c>
      <c r="P11">
        <f t="shared" si="5"/>
        <v>1849.0176795578095</v>
      </c>
      <c r="Q11">
        <f t="shared" si="6"/>
        <v>525.8737712706411</v>
      </c>
    </row>
    <row r="12" spans="1:17" x14ac:dyDescent="0.25">
      <c r="E12" s="1" t="s">
        <v>20</v>
      </c>
      <c r="F12" s="29">
        <f>AVERAGE(F4:F11)</f>
        <v>188.20170885819371</v>
      </c>
      <c r="G12" s="1"/>
      <c r="H12" s="1" t="s">
        <v>21</v>
      </c>
      <c r="I12" s="1">
        <f>F12/0.3</f>
        <v>627.33902952731239</v>
      </c>
      <c r="J12" s="1"/>
      <c r="K12" s="1"/>
      <c r="L12" s="1"/>
      <c r="M12" s="1"/>
      <c r="N12" s="1"/>
    </row>
    <row r="13" spans="1:17" x14ac:dyDescent="0.25">
      <c r="E13" s="1" t="s">
        <v>87</v>
      </c>
      <c r="F13" s="8">
        <f>_xlfn.STDEV.P(F4:F11)</f>
        <v>7.3024191919861003</v>
      </c>
      <c r="G13" s="1"/>
      <c r="H13" s="1"/>
      <c r="I13" s="1"/>
      <c r="J13" s="1"/>
      <c r="K13" s="1"/>
      <c r="L13" s="1"/>
      <c r="M13" s="1"/>
      <c r="N13" s="1"/>
    </row>
    <row r="15" spans="1:17" x14ac:dyDescent="0.25">
      <c r="A15">
        <v>9</v>
      </c>
      <c r="B15">
        <v>67.787000000000006</v>
      </c>
      <c r="C15">
        <v>70.97</v>
      </c>
      <c r="D15">
        <f t="shared" ref="D15" si="7">AVERAGE(B15:C15)</f>
        <v>69.378500000000003</v>
      </c>
      <c r="E15">
        <v>0.5</v>
      </c>
      <c r="F15">
        <f t="shared" ref="F15" si="8">(1.854*E15)/((D15*0.001)^2)</f>
        <v>192.58831005384067</v>
      </c>
    </row>
    <row r="17" spans="1:17" ht="30" x14ac:dyDescent="0.25">
      <c r="A17" s="31" t="s">
        <v>3</v>
      </c>
      <c r="B17" s="31" t="s">
        <v>4</v>
      </c>
      <c r="C17" s="31" t="s">
        <v>5</v>
      </c>
      <c r="D17" s="31" t="s">
        <v>6</v>
      </c>
      <c r="E17" s="31" t="s">
        <v>18</v>
      </c>
      <c r="F17" s="31" t="s">
        <v>17</v>
      </c>
      <c r="G17" s="31" t="s">
        <v>107</v>
      </c>
      <c r="H17" s="31"/>
      <c r="L17" s="1" t="s">
        <v>70</v>
      </c>
      <c r="M17" t="s">
        <v>63</v>
      </c>
      <c r="N17" t="s">
        <v>83</v>
      </c>
      <c r="O17" t="s">
        <v>84</v>
      </c>
      <c r="P17" t="s">
        <v>66</v>
      </c>
      <c r="Q17" t="s">
        <v>85</v>
      </c>
    </row>
    <row r="18" spans="1:17" x14ac:dyDescent="0.25">
      <c r="A18" s="1" t="s">
        <v>11</v>
      </c>
    </row>
    <row r="19" spans="1:17" x14ac:dyDescent="0.25">
      <c r="A19">
        <v>1</v>
      </c>
      <c r="B19">
        <v>93.1</v>
      </c>
      <c r="C19">
        <v>79.05</v>
      </c>
      <c r="D19">
        <f>AVERAGE(B19:C19)</f>
        <v>86.074999999999989</v>
      </c>
      <c r="E19">
        <v>0.5</v>
      </c>
      <c r="F19" s="28">
        <f>(1.854*E19)/((D19*0.001)^2)</f>
        <v>125.11969336901905</v>
      </c>
      <c r="G19" s="28">
        <v>214</v>
      </c>
      <c r="M19">
        <f t="shared" ref="M19" si="9">(D19*0.001/(2^0.5))^2</f>
        <v>3.7044528124999983E-3</v>
      </c>
      <c r="N19">
        <f t="shared" ref="N19" si="10">E19*9.81</f>
        <v>4.9050000000000002</v>
      </c>
      <c r="O19">
        <f>N19/M19</f>
        <v>1324.0821919634056</v>
      </c>
      <c r="P19">
        <f>0.927*O19</f>
        <v>1227.4241919500771</v>
      </c>
      <c r="Q19">
        <f>(0.383*P19)-182.3</f>
        <v>287.80346551687956</v>
      </c>
    </row>
    <row r="20" spans="1:17" x14ac:dyDescent="0.25">
      <c r="A20">
        <v>2</v>
      </c>
      <c r="B20">
        <v>87.08</v>
      </c>
      <c r="C20">
        <v>84.33</v>
      </c>
      <c r="D20">
        <f>AVERAGE(B20:C20)</f>
        <v>85.704999999999998</v>
      </c>
      <c r="E20">
        <v>0.5</v>
      </c>
      <c r="F20" s="28">
        <f>(1.854*E20)/((D20*0.001)^2)</f>
        <v>126.20234235971989</v>
      </c>
      <c r="G20" s="28">
        <v>147</v>
      </c>
      <c r="M20">
        <f t="shared" ref="M20:M55" si="11">(D20*0.001/(2^0.5))^2</f>
        <v>3.6726735124999995E-3</v>
      </c>
      <c r="N20">
        <f t="shared" ref="N20:N55" si="12">E20*9.81</f>
        <v>4.9050000000000002</v>
      </c>
      <c r="O20">
        <f t="shared" ref="O20:O55" si="13">N20/M20</f>
        <v>1335.5393511853856</v>
      </c>
      <c r="P20">
        <f t="shared" ref="P20:P55" si="14">0.927*O20</f>
        <v>1238.0449785488524</v>
      </c>
      <c r="Q20">
        <f t="shared" ref="Q20:Q55" si="15">(0.383*P20)-182.3</f>
        <v>291.87122678421048</v>
      </c>
    </row>
    <row r="21" spans="1:17" x14ac:dyDescent="0.25">
      <c r="A21">
        <v>3</v>
      </c>
      <c r="B21">
        <v>93.79</v>
      </c>
      <c r="C21">
        <v>86.21</v>
      </c>
      <c r="D21">
        <f t="shared" ref="D21:D56" si="16">AVERAGE(B21:C21)</f>
        <v>90</v>
      </c>
      <c r="E21">
        <v>0.5</v>
      </c>
      <c r="F21" s="28">
        <f t="shared" ref="F21:F56" si="17">(1.854*E21)/((D21*0.001)^2)</f>
        <v>114.44444444444446</v>
      </c>
      <c r="G21" s="28">
        <v>219</v>
      </c>
      <c r="M21">
        <f t="shared" si="11"/>
        <v>4.0499999999999998E-3</v>
      </c>
      <c r="N21">
        <f t="shared" si="12"/>
        <v>4.9050000000000002</v>
      </c>
      <c r="O21">
        <f t="shared" si="13"/>
        <v>1211.1111111111113</v>
      </c>
      <c r="P21">
        <f t="shared" si="14"/>
        <v>1122.7000000000003</v>
      </c>
      <c r="Q21">
        <f t="shared" si="15"/>
        <v>247.69410000000011</v>
      </c>
    </row>
    <row r="22" spans="1:17" x14ac:dyDescent="0.25">
      <c r="A22">
        <v>4</v>
      </c>
      <c r="B22">
        <v>82.8</v>
      </c>
      <c r="C22">
        <v>81.19</v>
      </c>
      <c r="D22">
        <f t="shared" si="16"/>
        <v>81.995000000000005</v>
      </c>
      <c r="E22">
        <v>0.5</v>
      </c>
      <c r="F22" s="28">
        <f t="shared" si="17"/>
        <v>137.88118071403269</v>
      </c>
      <c r="G22" s="28">
        <v>285.45999999999998</v>
      </c>
      <c r="M22">
        <f t="shared" si="11"/>
        <v>3.3615900125000004E-3</v>
      </c>
      <c r="N22">
        <f t="shared" si="12"/>
        <v>4.9050000000000002</v>
      </c>
      <c r="O22">
        <f t="shared" si="13"/>
        <v>1459.130941536851</v>
      </c>
      <c r="P22">
        <f t="shared" si="14"/>
        <v>1352.6143828046609</v>
      </c>
      <c r="Q22">
        <f t="shared" si="15"/>
        <v>335.75130861418512</v>
      </c>
    </row>
    <row r="23" spans="1:17" x14ac:dyDescent="0.25">
      <c r="A23">
        <v>5</v>
      </c>
      <c r="B23">
        <v>85.21</v>
      </c>
      <c r="C23">
        <v>77.86</v>
      </c>
      <c r="D23">
        <f t="shared" si="16"/>
        <v>81.534999999999997</v>
      </c>
      <c r="E23">
        <v>0.5</v>
      </c>
      <c r="F23" s="28">
        <f t="shared" si="17"/>
        <v>139.44135139066745</v>
      </c>
      <c r="G23" s="28">
        <v>343</v>
      </c>
      <c r="M23">
        <f t="shared" si="11"/>
        <v>3.3239781124999993E-3</v>
      </c>
      <c r="N23">
        <f t="shared" si="12"/>
        <v>4.9050000000000002</v>
      </c>
      <c r="O23">
        <f t="shared" si="13"/>
        <v>1475.6414855905587</v>
      </c>
      <c r="P23">
        <f t="shared" si="14"/>
        <v>1367.9196571424479</v>
      </c>
      <c r="Q23">
        <f t="shared" si="15"/>
        <v>341.61322868555754</v>
      </c>
    </row>
    <row r="24" spans="1:17" x14ac:dyDescent="0.25">
      <c r="A24">
        <v>6</v>
      </c>
      <c r="B24">
        <v>84.39</v>
      </c>
      <c r="C24">
        <v>77.67</v>
      </c>
      <c r="D24">
        <f t="shared" si="16"/>
        <v>81.03</v>
      </c>
      <c r="E24">
        <v>0.5</v>
      </c>
      <c r="F24" s="28">
        <f t="shared" si="17"/>
        <v>141.18483685817955</v>
      </c>
      <c r="G24" s="28">
        <v>383</v>
      </c>
      <c r="M24">
        <f t="shared" si="11"/>
        <v>3.2829304500000002E-3</v>
      </c>
      <c r="N24">
        <f t="shared" si="12"/>
        <v>4.9050000000000002</v>
      </c>
      <c r="O24">
        <f t="shared" si="13"/>
        <v>1494.0919628681138</v>
      </c>
      <c r="P24">
        <f t="shared" si="14"/>
        <v>1385.0232495787416</v>
      </c>
      <c r="Q24">
        <f t="shared" si="15"/>
        <v>348.163904588658</v>
      </c>
    </row>
    <row r="25" spans="1:17" x14ac:dyDescent="0.25">
      <c r="A25">
        <v>7</v>
      </c>
      <c r="B25">
        <v>87.76</v>
      </c>
      <c r="C25">
        <v>85.66</v>
      </c>
      <c r="D25">
        <f t="shared" si="16"/>
        <v>86.710000000000008</v>
      </c>
      <c r="E25">
        <v>0.5</v>
      </c>
      <c r="F25" s="28">
        <f t="shared" si="17"/>
        <v>123.29383510475006</v>
      </c>
      <c r="G25" s="28">
        <v>473</v>
      </c>
      <c r="M25">
        <f t="shared" si="11"/>
        <v>3.7593120500000001E-3</v>
      </c>
      <c r="N25">
        <f t="shared" si="12"/>
        <v>4.9050000000000002</v>
      </c>
      <c r="O25">
        <f t="shared" si="13"/>
        <v>1304.760002564831</v>
      </c>
      <c r="P25">
        <f t="shared" si="14"/>
        <v>1209.5125223775983</v>
      </c>
      <c r="Q25">
        <f t="shared" si="15"/>
        <v>280.94329607062014</v>
      </c>
    </row>
    <row r="26" spans="1:17" x14ac:dyDescent="0.25">
      <c r="A26">
        <v>8</v>
      </c>
      <c r="B26">
        <v>79.540000000000006</v>
      </c>
      <c r="C26">
        <v>78.790000000000006</v>
      </c>
      <c r="D26">
        <f t="shared" si="16"/>
        <v>79.165000000000006</v>
      </c>
      <c r="E26">
        <v>0.5</v>
      </c>
      <c r="F26" s="28">
        <f t="shared" si="17"/>
        <v>147.9153692242264</v>
      </c>
      <c r="G26" s="28">
        <v>558</v>
      </c>
      <c r="M26">
        <f t="shared" si="11"/>
        <v>3.1335486125000003E-3</v>
      </c>
      <c r="N26">
        <f t="shared" si="12"/>
        <v>4.9050000000000002</v>
      </c>
      <c r="O26">
        <f t="shared" si="13"/>
        <v>1565.317984994241</v>
      </c>
      <c r="P26">
        <f t="shared" si="14"/>
        <v>1451.0497720896615</v>
      </c>
      <c r="Q26">
        <f t="shared" si="15"/>
        <v>373.45206271034039</v>
      </c>
    </row>
    <row r="27" spans="1:17" x14ac:dyDescent="0.25">
      <c r="A27">
        <v>9</v>
      </c>
      <c r="B27">
        <v>82.3</v>
      </c>
      <c r="C27">
        <v>77.59</v>
      </c>
      <c r="D27">
        <f t="shared" si="16"/>
        <v>79.944999999999993</v>
      </c>
      <c r="E27">
        <v>0.5</v>
      </c>
      <c r="F27" s="28">
        <f t="shared" si="17"/>
        <v>145.04311572859169</v>
      </c>
      <c r="G27" s="28">
        <v>616</v>
      </c>
      <c r="M27">
        <f t="shared" si="11"/>
        <v>3.1956015124999983E-3</v>
      </c>
      <c r="N27">
        <f t="shared" si="12"/>
        <v>4.9050000000000002</v>
      </c>
      <c r="O27">
        <f t="shared" si="13"/>
        <v>1534.9222926617961</v>
      </c>
      <c r="P27">
        <f t="shared" si="14"/>
        <v>1422.8729652974851</v>
      </c>
      <c r="Q27">
        <f t="shared" si="15"/>
        <v>362.66034570893675</v>
      </c>
    </row>
    <row r="28" spans="1:17" x14ac:dyDescent="0.25">
      <c r="A28">
        <v>10</v>
      </c>
      <c r="B28">
        <v>82.3</v>
      </c>
      <c r="C28">
        <v>78.97</v>
      </c>
      <c r="D28">
        <f t="shared" si="16"/>
        <v>80.634999999999991</v>
      </c>
      <c r="E28">
        <v>0.5</v>
      </c>
      <c r="F28" s="28">
        <f t="shared" si="17"/>
        <v>142.57144574086243</v>
      </c>
      <c r="G28" s="28">
        <v>704</v>
      </c>
      <c r="M28">
        <f t="shared" si="11"/>
        <v>3.2510016124999994E-3</v>
      </c>
      <c r="N28">
        <f t="shared" si="12"/>
        <v>4.9050000000000002</v>
      </c>
      <c r="O28">
        <f t="shared" si="13"/>
        <v>1508.765785024661</v>
      </c>
      <c r="P28">
        <f t="shared" si="14"/>
        <v>1398.6258827178608</v>
      </c>
      <c r="Q28">
        <f t="shared" si="15"/>
        <v>353.37371308094072</v>
      </c>
    </row>
    <row r="29" spans="1:17" x14ac:dyDescent="0.25">
      <c r="A29">
        <v>11</v>
      </c>
      <c r="B29">
        <v>81.53</v>
      </c>
      <c r="C29">
        <v>77.73</v>
      </c>
      <c r="D29">
        <f t="shared" si="16"/>
        <v>79.63</v>
      </c>
      <c r="E29">
        <v>0.5</v>
      </c>
      <c r="F29" s="28">
        <f t="shared" si="17"/>
        <v>146.19290723426062</v>
      </c>
      <c r="G29" s="28">
        <v>781</v>
      </c>
      <c r="M29">
        <f t="shared" si="11"/>
        <v>3.1704684499999991E-3</v>
      </c>
      <c r="N29">
        <f t="shared" si="12"/>
        <v>4.9050000000000002</v>
      </c>
      <c r="O29">
        <f t="shared" si="13"/>
        <v>1547.0899891780982</v>
      </c>
      <c r="P29">
        <f t="shared" si="14"/>
        <v>1434.1524199680971</v>
      </c>
      <c r="Q29">
        <f t="shared" si="15"/>
        <v>366.9803768477812</v>
      </c>
    </row>
    <row r="30" spans="1:17" x14ac:dyDescent="0.25">
      <c r="A30">
        <v>12</v>
      </c>
      <c r="B30">
        <v>81.89</v>
      </c>
      <c r="C30">
        <v>76.400000000000006</v>
      </c>
      <c r="D30">
        <f t="shared" si="16"/>
        <v>79.14500000000001</v>
      </c>
      <c r="E30">
        <v>0.5</v>
      </c>
      <c r="F30" s="28">
        <f t="shared" si="17"/>
        <v>147.99013531602543</v>
      </c>
      <c r="G30" s="28">
        <v>843</v>
      </c>
      <c r="M30">
        <f t="shared" si="11"/>
        <v>3.1319655124999999E-3</v>
      </c>
      <c r="N30">
        <f t="shared" si="12"/>
        <v>4.9050000000000002</v>
      </c>
      <c r="O30">
        <f t="shared" si="13"/>
        <v>1566.109198975415</v>
      </c>
      <c r="P30">
        <f t="shared" si="14"/>
        <v>1451.7832274502098</v>
      </c>
      <c r="Q30">
        <f t="shared" si="15"/>
        <v>373.73297611343031</v>
      </c>
    </row>
    <row r="31" spans="1:17" x14ac:dyDescent="0.25">
      <c r="A31">
        <v>13</v>
      </c>
      <c r="B31">
        <v>83.34</v>
      </c>
      <c r="C31">
        <v>75.5</v>
      </c>
      <c r="D31">
        <f t="shared" si="16"/>
        <v>79.42</v>
      </c>
      <c r="E31">
        <v>0.5</v>
      </c>
      <c r="F31" s="28">
        <f t="shared" si="17"/>
        <v>146.96704722940638</v>
      </c>
      <c r="G31" s="28">
        <v>879</v>
      </c>
      <c r="M31">
        <f t="shared" si="11"/>
        <v>3.1537682000000004E-3</v>
      </c>
      <c r="N31">
        <f t="shared" si="12"/>
        <v>4.9050000000000002</v>
      </c>
      <c r="O31">
        <f t="shared" si="13"/>
        <v>1555.2823444665337</v>
      </c>
      <c r="P31">
        <f t="shared" si="14"/>
        <v>1441.7467333204768</v>
      </c>
      <c r="Q31">
        <f t="shared" si="15"/>
        <v>369.88899886174255</v>
      </c>
    </row>
    <row r="32" spans="1:17" x14ac:dyDescent="0.25">
      <c r="A32">
        <v>14</v>
      </c>
      <c r="B32">
        <v>79.13</v>
      </c>
      <c r="C32">
        <v>76.53</v>
      </c>
      <c r="D32">
        <f t="shared" si="16"/>
        <v>77.83</v>
      </c>
      <c r="E32">
        <v>0.5</v>
      </c>
      <c r="F32" s="28">
        <f t="shared" si="17"/>
        <v>153.03320478819273</v>
      </c>
      <c r="G32" s="28">
        <v>927.8</v>
      </c>
      <c r="M32">
        <f t="shared" si="11"/>
        <v>3.0287544499999993E-3</v>
      </c>
      <c r="N32">
        <f t="shared" si="12"/>
        <v>4.9050000000000002</v>
      </c>
      <c r="O32">
        <f t="shared" si="13"/>
        <v>1619.4776040692243</v>
      </c>
      <c r="P32">
        <f t="shared" si="14"/>
        <v>1501.255738972171</v>
      </c>
      <c r="Q32">
        <f t="shared" si="15"/>
        <v>392.68094802634147</v>
      </c>
    </row>
    <row r="33" spans="1:17" x14ac:dyDescent="0.25">
      <c r="A33">
        <v>15</v>
      </c>
      <c r="B33">
        <v>77.900000000000006</v>
      </c>
      <c r="C33">
        <v>74.61</v>
      </c>
      <c r="D33">
        <f t="shared" si="16"/>
        <v>76.254999999999995</v>
      </c>
      <c r="E33">
        <v>0.5</v>
      </c>
      <c r="F33" s="28">
        <f t="shared" si="17"/>
        <v>159.4201022411676</v>
      </c>
      <c r="G33" s="28">
        <v>972</v>
      </c>
      <c r="M33">
        <f t="shared" si="11"/>
        <v>2.9074125124999997E-3</v>
      </c>
      <c r="N33">
        <f t="shared" si="12"/>
        <v>4.9050000000000002</v>
      </c>
      <c r="O33">
        <f t="shared" si="13"/>
        <v>1687.0671013871138</v>
      </c>
      <c r="P33">
        <f t="shared" si="14"/>
        <v>1563.9112029858545</v>
      </c>
      <c r="Q33">
        <f t="shared" si="15"/>
        <v>416.67799074358226</v>
      </c>
    </row>
    <row r="34" spans="1:17" x14ac:dyDescent="0.25">
      <c r="A34">
        <v>16</v>
      </c>
      <c r="B34">
        <v>80.989999999999995</v>
      </c>
      <c r="C34">
        <v>76.45</v>
      </c>
      <c r="D34">
        <f t="shared" si="16"/>
        <v>78.72</v>
      </c>
      <c r="E34">
        <v>0.5</v>
      </c>
      <c r="F34" s="28">
        <f t="shared" si="17"/>
        <v>149.59241151100537</v>
      </c>
      <c r="G34" s="28">
        <v>1075</v>
      </c>
      <c r="M34">
        <f t="shared" si="11"/>
        <v>3.098419199999999E-3</v>
      </c>
      <c r="N34">
        <f t="shared" si="12"/>
        <v>4.9050000000000002</v>
      </c>
      <c r="O34">
        <f t="shared" si="13"/>
        <v>1583.0653256989892</v>
      </c>
      <c r="P34">
        <f t="shared" si="14"/>
        <v>1467.5015569229631</v>
      </c>
      <c r="Q34">
        <f t="shared" si="15"/>
        <v>379.75309630149485</v>
      </c>
    </row>
    <row r="35" spans="1:17" x14ac:dyDescent="0.25">
      <c r="A35">
        <v>17</v>
      </c>
      <c r="B35">
        <v>78.59</v>
      </c>
      <c r="C35">
        <v>77.010000000000005</v>
      </c>
      <c r="D35">
        <f t="shared" si="16"/>
        <v>77.800000000000011</v>
      </c>
      <c r="E35">
        <v>0.5</v>
      </c>
      <c r="F35" s="28">
        <f t="shared" si="17"/>
        <v>153.15124800919895</v>
      </c>
      <c r="G35" s="28">
        <v>1173</v>
      </c>
      <c r="M35">
        <f t="shared" si="11"/>
        <v>3.0264200000000002E-3</v>
      </c>
      <c r="N35">
        <f t="shared" si="12"/>
        <v>4.9050000000000002</v>
      </c>
      <c r="O35">
        <f t="shared" si="13"/>
        <v>1620.7267993206494</v>
      </c>
      <c r="P35">
        <f t="shared" si="14"/>
        <v>1502.4137429702421</v>
      </c>
      <c r="Q35">
        <f t="shared" si="15"/>
        <v>393.12446355760272</v>
      </c>
    </row>
    <row r="36" spans="1:17" x14ac:dyDescent="0.25">
      <c r="A36">
        <v>18</v>
      </c>
      <c r="B36">
        <v>77.2</v>
      </c>
      <c r="C36">
        <v>74.2</v>
      </c>
      <c r="D36">
        <f t="shared" si="16"/>
        <v>75.7</v>
      </c>
      <c r="E36">
        <v>0.5</v>
      </c>
      <c r="F36" s="28">
        <f t="shared" si="17"/>
        <v>161.76627129617188</v>
      </c>
      <c r="G36" s="28">
        <v>1276</v>
      </c>
      <c r="M36">
        <f t="shared" si="11"/>
        <v>2.8652450000000002E-3</v>
      </c>
      <c r="N36">
        <f t="shared" si="12"/>
        <v>4.9050000000000002</v>
      </c>
      <c r="O36">
        <f t="shared" si="13"/>
        <v>1711.895492357547</v>
      </c>
      <c r="P36">
        <f t="shared" si="14"/>
        <v>1586.9271214154462</v>
      </c>
      <c r="Q36">
        <f t="shared" si="15"/>
        <v>425.49308750211588</v>
      </c>
    </row>
    <row r="37" spans="1:17" x14ac:dyDescent="0.25">
      <c r="A37">
        <v>19</v>
      </c>
      <c r="B37">
        <v>78.37</v>
      </c>
      <c r="C37">
        <v>73.8</v>
      </c>
      <c r="D37">
        <f t="shared" si="16"/>
        <v>76.085000000000008</v>
      </c>
      <c r="E37">
        <v>0.5</v>
      </c>
      <c r="F37" s="28">
        <f t="shared" si="17"/>
        <v>160.13329654528516</v>
      </c>
      <c r="G37" s="28">
        <v>1325</v>
      </c>
      <c r="M37">
        <f t="shared" si="11"/>
        <v>2.8944636125000003E-3</v>
      </c>
      <c r="N37">
        <f t="shared" si="12"/>
        <v>4.9050000000000002</v>
      </c>
      <c r="O37">
        <f t="shared" si="13"/>
        <v>1694.6144974209794</v>
      </c>
      <c r="P37">
        <f t="shared" si="14"/>
        <v>1570.9076391092481</v>
      </c>
      <c r="Q37">
        <f t="shared" si="15"/>
        <v>419.35762577884196</v>
      </c>
    </row>
    <row r="38" spans="1:17" x14ac:dyDescent="0.25">
      <c r="A38">
        <v>20</v>
      </c>
      <c r="B38">
        <v>74.73</v>
      </c>
      <c r="C38">
        <v>72.319999999999993</v>
      </c>
      <c r="D38">
        <f t="shared" si="16"/>
        <v>73.525000000000006</v>
      </c>
      <c r="E38">
        <v>0.5</v>
      </c>
      <c r="F38" s="28">
        <f t="shared" si="17"/>
        <v>171.47849680229365</v>
      </c>
      <c r="G38" s="28">
        <v>1436</v>
      </c>
      <c r="M38">
        <f t="shared" si="11"/>
        <v>2.7029628125000002E-3</v>
      </c>
      <c r="N38">
        <f t="shared" si="12"/>
        <v>4.9050000000000002</v>
      </c>
      <c r="O38">
        <f t="shared" si="13"/>
        <v>1814.6753545097099</v>
      </c>
      <c r="P38">
        <f t="shared" si="14"/>
        <v>1682.2040536305012</v>
      </c>
      <c r="Q38">
        <f t="shared" si="15"/>
        <v>461.98415254048194</v>
      </c>
    </row>
    <row r="39" spans="1:17" x14ac:dyDescent="0.25">
      <c r="A39">
        <v>21</v>
      </c>
      <c r="B39">
        <v>82.33</v>
      </c>
      <c r="C39">
        <v>76.56</v>
      </c>
      <c r="D39">
        <f t="shared" si="16"/>
        <v>79.444999999999993</v>
      </c>
      <c r="E39">
        <v>0.5</v>
      </c>
      <c r="F39" s="28">
        <f t="shared" si="17"/>
        <v>146.87456568670055</v>
      </c>
      <c r="G39" s="28">
        <v>1525</v>
      </c>
      <c r="M39">
        <f t="shared" si="11"/>
        <v>3.1557540124999999E-3</v>
      </c>
      <c r="N39">
        <f t="shared" si="12"/>
        <v>4.9050000000000002</v>
      </c>
      <c r="O39">
        <f t="shared" si="13"/>
        <v>1554.3036562961513</v>
      </c>
      <c r="P39">
        <f t="shared" si="14"/>
        <v>1440.8394893865323</v>
      </c>
      <c r="Q39">
        <f t="shared" si="15"/>
        <v>369.54152443504182</v>
      </c>
    </row>
    <row r="40" spans="1:17" x14ac:dyDescent="0.25">
      <c r="A40">
        <v>22</v>
      </c>
      <c r="B40">
        <v>76.16</v>
      </c>
      <c r="C40">
        <v>72.099999999999994</v>
      </c>
      <c r="D40">
        <f t="shared" si="16"/>
        <v>74.13</v>
      </c>
      <c r="E40">
        <v>0.5</v>
      </c>
      <c r="F40" s="28">
        <f t="shared" si="17"/>
        <v>168.69093053684168</v>
      </c>
      <c r="G40" s="28">
        <v>1624</v>
      </c>
      <c r="M40">
        <f t="shared" si="11"/>
        <v>2.7476284499999997E-3</v>
      </c>
      <c r="N40">
        <f t="shared" si="12"/>
        <v>4.9050000000000002</v>
      </c>
      <c r="O40">
        <f t="shared" si="13"/>
        <v>1785.1758668461891</v>
      </c>
      <c r="P40">
        <f t="shared" si="14"/>
        <v>1654.8580285664175</v>
      </c>
      <c r="Q40">
        <f t="shared" si="15"/>
        <v>451.51062494093793</v>
      </c>
    </row>
    <row r="41" spans="1:17" x14ac:dyDescent="0.25">
      <c r="A41">
        <v>23</v>
      </c>
      <c r="B41">
        <v>76.94</v>
      </c>
      <c r="C41">
        <v>75.48</v>
      </c>
      <c r="D41">
        <f t="shared" si="16"/>
        <v>76.210000000000008</v>
      </c>
      <c r="E41">
        <v>0.5</v>
      </c>
      <c r="F41" s="28">
        <f t="shared" si="17"/>
        <v>159.60842457686675</v>
      </c>
      <c r="G41" s="28">
        <v>1731</v>
      </c>
      <c r="M41">
        <f t="shared" si="11"/>
        <v>2.9039820500000009E-3</v>
      </c>
      <c r="N41">
        <f t="shared" si="12"/>
        <v>4.9050000000000002</v>
      </c>
      <c r="O41">
        <f t="shared" si="13"/>
        <v>1689.0600270755801</v>
      </c>
      <c r="P41">
        <f t="shared" si="14"/>
        <v>1565.758645099063</v>
      </c>
      <c r="Q41">
        <f t="shared" si="15"/>
        <v>417.38556107294113</v>
      </c>
    </row>
    <row r="42" spans="1:17" x14ac:dyDescent="0.25">
      <c r="A42">
        <v>24</v>
      </c>
      <c r="B42">
        <v>75.489999999999995</v>
      </c>
      <c r="C42">
        <v>74.3</v>
      </c>
      <c r="D42">
        <f t="shared" si="16"/>
        <v>74.894999999999996</v>
      </c>
      <c r="E42">
        <v>0.5</v>
      </c>
      <c r="F42" s="28">
        <f t="shared" si="17"/>
        <v>165.26241083601562</v>
      </c>
      <c r="G42" s="28">
        <v>1824</v>
      </c>
      <c r="M42">
        <f t="shared" si="11"/>
        <v>2.8046305125000001E-3</v>
      </c>
      <c r="N42">
        <f t="shared" si="12"/>
        <v>4.9050000000000002</v>
      </c>
      <c r="O42">
        <f t="shared" si="13"/>
        <v>1748.8934738956991</v>
      </c>
      <c r="P42">
        <f t="shared" si="14"/>
        <v>1621.2242503013131</v>
      </c>
      <c r="Q42">
        <f t="shared" si="15"/>
        <v>438.62888786540287</v>
      </c>
    </row>
    <row r="43" spans="1:17" x14ac:dyDescent="0.25">
      <c r="A43">
        <v>25</v>
      </c>
      <c r="B43">
        <v>75.72</v>
      </c>
      <c r="C43">
        <v>74.08</v>
      </c>
      <c r="D43">
        <f t="shared" si="16"/>
        <v>74.900000000000006</v>
      </c>
      <c r="E43">
        <v>0.5</v>
      </c>
      <c r="F43" s="28">
        <f t="shared" si="17"/>
        <v>165.24034716515655</v>
      </c>
      <c r="G43" s="28">
        <v>1931</v>
      </c>
      <c r="M43">
        <f t="shared" si="11"/>
        <v>2.8050050000000002E-3</v>
      </c>
      <c r="N43">
        <f t="shared" si="12"/>
        <v>4.9050000000000002</v>
      </c>
      <c r="O43">
        <f t="shared" si="13"/>
        <v>1748.6599845633073</v>
      </c>
      <c r="P43">
        <f t="shared" si="14"/>
        <v>1621.0078056901859</v>
      </c>
      <c r="Q43">
        <f t="shared" si="15"/>
        <v>438.54598957934121</v>
      </c>
    </row>
    <row r="44" spans="1:17" x14ac:dyDescent="0.25">
      <c r="A44">
        <v>26</v>
      </c>
      <c r="B44">
        <v>76.08</v>
      </c>
      <c r="C44">
        <v>71.72</v>
      </c>
      <c r="D44">
        <f t="shared" si="16"/>
        <v>73.900000000000006</v>
      </c>
      <c r="E44">
        <v>0.5</v>
      </c>
      <c r="F44" s="28">
        <f t="shared" si="17"/>
        <v>169.74260282977579</v>
      </c>
      <c r="G44" s="28">
        <v>2016</v>
      </c>
      <c r="M44">
        <f t="shared" si="11"/>
        <v>2.7306050000000005E-3</v>
      </c>
      <c r="N44">
        <f t="shared" si="12"/>
        <v>4.9050000000000002</v>
      </c>
      <c r="O44">
        <f t="shared" si="13"/>
        <v>1796.3052144121905</v>
      </c>
      <c r="P44">
        <f t="shared" si="14"/>
        <v>1665.1749337601007</v>
      </c>
      <c r="Q44">
        <f t="shared" si="15"/>
        <v>455.46199963011856</v>
      </c>
    </row>
    <row r="45" spans="1:17" x14ac:dyDescent="0.25">
      <c r="A45">
        <v>27</v>
      </c>
      <c r="B45">
        <v>73.41</v>
      </c>
      <c r="C45">
        <v>71.62</v>
      </c>
      <c r="D45">
        <f t="shared" si="16"/>
        <v>72.515000000000001</v>
      </c>
      <c r="E45">
        <v>0.5</v>
      </c>
      <c r="F45" s="28">
        <f t="shared" si="17"/>
        <v>176.28851991519954</v>
      </c>
      <c r="G45" s="28">
        <v>2100</v>
      </c>
      <c r="M45">
        <f t="shared" si="11"/>
        <v>2.6292126124999992E-3</v>
      </c>
      <c r="N45">
        <f t="shared" si="12"/>
        <v>4.9050000000000002</v>
      </c>
      <c r="O45">
        <f t="shared" si="13"/>
        <v>1865.5775408501704</v>
      </c>
      <c r="P45">
        <f t="shared" si="14"/>
        <v>1729.390380368108</v>
      </c>
      <c r="Q45">
        <f t="shared" si="15"/>
        <v>480.05651568098534</v>
      </c>
    </row>
    <row r="46" spans="1:17" x14ac:dyDescent="0.25">
      <c r="A46">
        <v>28</v>
      </c>
      <c r="B46">
        <v>74.540000000000006</v>
      </c>
      <c r="C46">
        <v>71.94</v>
      </c>
      <c r="D46">
        <f t="shared" si="16"/>
        <v>73.240000000000009</v>
      </c>
      <c r="E46">
        <v>0.5</v>
      </c>
      <c r="F46" s="28">
        <f t="shared" si="17"/>
        <v>172.81564750052269</v>
      </c>
      <c r="G46" s="28">
        <v>2200</v>
      </c>
      <c r="M46">
        <f t="shared" si="11"/>
        <v>2.6820488000000005E-3</v>
      </c>
      <c r="N46">
        <f t="shared" si="12"/>
        <v>4.9050000000000002</v>
      </c>
      <c r="O46">
        <f t="shared" si="13"/>
        <v>1828.8257842288326</v>
      </c>
      <c r="P46">
        <f t="shared" si="14"/>
        <v>1695.321501980128</v>
      </c>
      <c r="Q46">
        <f t="shared" si="15"/>
        <v>467.00813525838902</v>
      </c>
    </row>
    <row r="47" spans="1:17" x14ac:dyDescent="0.25">
      <c r="A47">
        <v>29</v>
      </c>
      <c r="B47">
        <v>87.36</v>
      </c>
      <c r="C47">
        <v>80.3</v>
      </c>
      <c r="D47">
        <f t="shared" si="16"/>
        <v>83.83</v>
      </c>
      <c r="E47">
        <v>0.5</v>
      </c>
      <c r="F47" s="28">
        <f t="shared" si="17"/>
        <v>131.910935955903</v>
      </c>
      <c r="G47" s="28">
        <v>94</v>
      </c>
      <c r="M47">
        <f t="shared" si="11"/>
        <v>3.5137344499999996E-3</v>
      </c>
      <c r="N47">
        <f t="shared" si="12"/>
        <v>4.9050000000000002</v>
      </c>
      <c r="O47">
        <f t="shared" si="13"/>
        <v>1395.9506814750901</v>
      </c>
      <c r="P47">
        <f t="shared" si="14"/>
        <v>1294.0462817274085</v>
      </c>
      <c r="Q47">
        <f t="shared" si="15"/>
        <v>313.31972590159745</v>
      </c>
    </row>
    <row r="48" spans="1:17" x14ac:dyDescent="0.25">
      <c r="A48">
        <v>30</v>
      </c>
      <c r="B48">
        <v>85.14</v>
      </c>
      <c r="C48">
        <v>82.01</v>
      </c>
      <c r="D48">
        <f t="shared" si="16"/>
        <v>83.575000000000003</v>
      </c>
      <c r="E48">
        <v>0.5</v>
      </c>
      <c r="F48" s="28">
        <f t="shared" si="17"/>
        <v>132.71712452672767</v>
      </c>
      <c r="G48" s="28">
        <v>201</v>
      </c>
      <c r="M48">
        <f t="shared" si="11"/>
        <v>3.4923903125000009E-3</v>
      </c>
      <c r="N48">
        <f t="shared" si="12"/>
        <v>4.9050000000000002</v>
      </c>
      <c r="O48">
        <f t="shared" si="13"/>
        <v>1404.4821915935261</v>
      </c>
      <c r="P48">
        <f t="shared" si="14"/>
        <v>1301.9549916071987</v>
      </c>
      <c r="Q48">
        <f t="shared" si="15"/>
        <v>316.34876178555709</v>
      </c>
    </row>
    <row r="49" spans="1:17" x14ac:dyDescent="0.25">
      <c r="A49">
        <v>31</v>
      </c>
      <c r="B49">
        <v>87.19</v>
      </c>
      <c r="C49">
        <v>77.319999999999993</v>
      </c>
      <c r="D49">
        <f t="shared" si="16"/>
        <v>82.254999999999995</v>
      </c>
      <c r="E49">
        <v>0.5</v>
      </c>
      <c r="F49" s="28">
        <f t="shared" si="17"/>
        <v>137.01090050669316</v>
      </c>
      <c r="G49" s="28">
        <v>290</v>
      </c>
      <c r="M49">
        <f t="shared" si="11"/>
        <v>3.3829425124999994E-3</v>
      </c>
      <c r="N49">
        <f t="shared" si="12"/>
        <v>4.9050000000000002</v>
      </c>
      <c r="O49">
        <f t="shared" si="13"/>
        <v>1449.9211801193744</v>
      </c>
      <c r="P49">
        <f t="shared" si="14"/>
        <v>1344.0769339706601</v>
      </c>
      <c r="Q49">
        <f t="shared" si="15"/>
        <v>332.48146571076285</v>
      </c>
    </row>
    <row r="50" spans="1:17" x14ac:dyDescent="0.25">
      <c r="A50">
        <v>32</v>
      </c>
      <c r="B50">
        <v>79.11</v>
      </c>
      <c r="C50">
        <v>79.17</v>
      </c>
      <c r="D50">
        <f t="shared" si="16"/>
        <v>79.14</v>
      </c>
      <c r="E50">
        <v>0.5</v>
      </c>
      <c r="F50" s="28">
        <f t="shared" si="17"/>
        <v>148.00883569639737</v>
      </c>
      <c r="G50" s="28">
        <v>540</v>
      </c>
      <c r="M50">
        <f t="shared" si="11"/>
        <v>3.1315697999999997E-3</v>
      </c>
      <c r="N50">
        <f t="shared" si="12"/>
        <v>4.9050000000000002</v>
      </c>
      <c r="O50">
        <f t="shared" si="13"/>
        <v>1566.3070962045938</v>
      </c>
      <c r="P50">
        <f t="shared" si="14"/>
        <v>1451.9666781816586</v>
      </c>
      <c r="Q50">
        <f t="shared" si="15"/>
        <v>373.80323774357527</v>
      </c>
    </row>
    <row r="51" spans="1:17" x14ac:dyDescent="0.25">
      <c r="A51">
        <v>33</v>
      </c>
      <c r="B51">
        <v>77.459999999999994</v>
      </c>
      <c r="C51">
        <v>76.91</v>
      </c>
      <c r="D51">
        <f t="shared" si="16"/>
        <v>77.185000000000002</v>
      </c>
      <c r="E51">
        <v>0.5</v>
      </c>
      <c r="F51" s="28">
        <f t="shared" si="17"/>
        <v>155.60154940032996</v>
      </c>
      <c r="G51" s="28">
        <v>696</v>
      </c>
      <c r="M51">
        <f t="shared" si="11"/>
        <v>2.9787621125E-3</v>
      </c>
      <c r="N51">
        <f t="shared" si="12"/>
        <v>4.9050000000000002</v>
      </c>
      <c r="O51">
        <f t="shared" si="13"/>
        <v>1646.657173265628</v>
      </c>
      <c r="P51">
        <f t="shared" si="14"/>
        <v>1526.4511996172373</v>
      </c>
      <c r="Q51">
        <f t="shared" si="15"/>
        <v>402.33080945340186</v>
      </c>
    </row>
    <row r="52" spans="1:17" x14ac:dyDescent="0.25">
      <c r="A52">
        <v>34</v>
      </c>
      <c r="B52">
        <v>76.63</v>
      </c>
      <c r="C52">
        <v>77.22</v>
      </c>
      <c r="D52">
        <f t="shared" si="16"/>
        <v>76.924999999999997</v>
      </c>
      <c r="E52">
        <v>0.5</v>
      </c>
      <c r="F52" s="28">
        <f t="shared" si="17"/>
        <v>156.65516714373337</v>
      </c>
      <c r="G52" s="28">
        <v>852</v>
      </c>
      <c r="M52">
        <f t="shared" si="11"/>
        <v>2.9587278124999995E-3</v>
      </c>
      <c r="N52">
        <f t="shared" si="12"/>
        <v>4.9050000000000002</v>
      </c>
      <c r="O52">
        <f t="shared" si="13"/>
        <v>1657.8071086084406</v>
      </c>
      <c r="P52">
        <f t="shared" si="14"/>
        <v>1536.7871896800245</v>
      </c>
      <c r="Q52">
        <f t="shared" si="15"/>
        <v>406.28949364744943</v>
      </c>
    </row>
    <row r="53" spans="1:17" x14ac:dyDescent="0.25">
      <c r="A53">
        <v>35</v>
      </c>
      <c r="B53">
        <v>76.400000000000006</v>
      </c>
      <c r="C53">
        <v>75.239999999999995</v>
      </c>
      <c r="D53">
        <f t="shared" si="16"/>
        <v>75.819999999999993</v>
      </c>
      <c r="E53">
        <v>0.5</v>
      </c>
      <c r="F53" s="28">
        <f t="shared" si="17"/>
        <v>161.25462289345276</v>
      </c>
      <c r="G53" s="28">
        <v>1039</v>
      </c>
      <c r="M53">
        <f t="shared" si="11"/>
        <v>2.8743362E-3</v>
      </c>
      <c r="N53">
        <f t="shared" si="12"/>
        <v>4.9050000000000002</v>
      </c>
      <c r="O53">
        <f t="shared" si="13"/>
        <v>1706.4809607171214</v>
      </c>
      <c r="P53">
        <f t="shared" si="14"/>
        <v>1581.9078505847717</v>
      </c>
      <c r="Q53">
        <f t="shared" si="15"/>
        <v>423.57070677396752</v>
      </c>
    </row>
    <row r="54" spans="1:17" x14ac:dyDescent="0.25">
      <c r="A54">
        <v>36</v>
      </c>
      <c r="B54">
        <v>71.14</v>
      </c>
      <c r="C54">
        <v>74.7</v>
      </c>
      <c r="D54">
        <f t="shared" si="16"/>
        <v>72.92</v>
      </c>
      <c r="E54">
        <v>0.5</v>
      </c>
      <c r="F54" s="28">
        <f t="shared" si="17"/>
        <v>174.33573383796789</v>
      </c>
      <c r="G54" s="28">
        <v>1293</v>
      </c>
      <c r="M54">
        <f t="shared" si="11"/>
        <v>2.6586631999999995E-3</v>
      </c>
      <c r="N54">
        <f t="shared" si="12"/>
        <v>4.9050000000000002</v>
      </c>
      <c r="O54">
        <f t="shared" si="13"/>
        <v>1844.9121347901462</v>
      </c>
      <c r="P54">
        <f t="shared" si="14"/>
        <v>1710.2335489504655</v>
      </c>
      <c r="Q54">
        <f t="shared" si="15"/>
        <v>472.7194492480283</v>
      </c>
    </row>
    <row r="55" spans="1:17" x14ac:dyDescent="0.25">
      <c r="A55">
        <v>37</v>
      </c>
      <c r="B55">
        <v>73.27</v>
      </c>
      <c r="C55">
        <v>72.37</v>
      </c>
      <c r="D55">
        <f t="shared" si="16"/>
        <v>72.819999999999993</v>
      </c>
      <c r="E55">
        <v>0.5</v>
      </c>
      <c r="F55" s="28">
        <f t="shared" si="17"/>
        <v>174.81487538433817</v>
      </c>
      <c r="G55" s="28">
        <v>1539</v>
      </c>
      <c r="M55">
        <f t="shared" si="11"/>
        <v>2.6513761999999992E-3</v>
      </c>
      <c r="N55">
        <f t="shared" si="12"/>
        <v>4.9050000000000002</v>
      </c>
      <c r="O55">
        <f t="shared" si="13"/>
        <v>1849.9826618342586</v>
      </c>
      <c r="P55">
        <f t="shared" si="14"/>
        <v>1714.9339275203579</v>
      </c>
      <c r="Q55">
        <f t="shared" si="15"/>
        <v>474.51969424029704</v>
      </c>
    </row>
    <row r="56" spans="1:17" x14ac:dyDescent="0.25">
      <c r="A56">
        <v>38</v>
      </c>
      <c r="B56">
        <v>76.31</v>
      </c>
      <c r="C56">
        <v>71.77</v>
      </c>
      <c r="D56">
        <f t="shared" si="16"/>
        <v>74.039999999999992</v>
      </c>
      <c r="E56">
        <v>0.5</v>
      </c>
      <c r="F56" s="28">
        <f t="shared" si="17"/>
        <v>169.10128740257798</v>
      </c>
      <c r="G56" s="28">
        <v>1789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zoomScaleNormal="100" workbookViewId="0">
      <selection activeCell="F2" sqref="F2"/>
    </sheetView>
  </sheetViews>
  <sheetFormatPr defaultRowHeight="15" x14ac:dyDescent="0.25"/>
  <cols>
    <col min="1" max="1" width="19.140625" bestFit="1" customWidth="1"/>
    <col min="2" max="2" width="13.5703125" bestFit="1" customWidth="1"/>
    <col min="3" max="3" width="11.5703125" bestFit="1" customWidth="1"/>
    <col min="4" max="6" width="10.42578125" customWidth="1"/>
    <col min="7" max="7" width="35.140625" bestFit="1" customWidth="1"/>
    <col min="8" max="8" width="30.28515625" bestFit="1" customWidth="1"/>
    <col min="16" max="16" width="11" bestFit="1" customWidth="1"/>
  </cols>
  <sheetData>
    <row r="1" spans="1:17" x14ac:dyDescent="0.25">
      <c r="A1" t="s">
        <v>112</v>
      </c>
    </row>
    <row r="2" spans="1:17" ht="30" x14ac:dyDescent="0.25">
      <c r="A2" s="31" t="s">
        <v>3</v>
      </c>
      <c r="B2" s="31" t="s">
        <v>4</v>
      </c>
      <c r="C2" s="31" t="s">
        <v>5</v>
      </c>
      <c r="D2" s="31" t="s">
        <v>6</v>
      </c>
      <c r="E2" s="31" t="s">
        <v>18</v>
      </c>
      <c r="F2" s="31" t="s">
        <v>17</v>
      </c>
      <c r="G2" s="31" t="s">
        <v>2</v>
      </c>
      <c r="L2" s="1" t="s">
        <v>70</v>
      </c>
      <c r="M2" t="s">
        <v>63</v>
      </c>
      <c r="N2" t="s">
        <v>83</v>
      </c>
      <c r="O2" t="s">
        <v>84</v>
      </c>
      <c r="P2" t="s">
        <v>66</v>
      </c>
      <c r="Q2" t="s">
        <v>85</v>
      </c>
    </row>
    <row r="3" spans="1:17" x14ac:dyDescent="0.25">
      <c r="A3" s="1" t="s">
        <v>1</v>
      </c>
    </row>
    <row r="4" spans="1:17" x14ac:dyDescent="0.25">
      <c r="A4">
        <v>1</v>
      </c>
      <c r="B4">
        <v>70.09</v>
      </c>
      <c r="C4">
        <v>71.239999999999995</v>
      </c>
      <c r="D4">
        <f>AVERAGE(B4:C4)</f>
        <v>70.664999999999992</v>
      </c>
      <c r="E4">
        <v>0.5</v>
      </c>
      <c r="F4" s="28">
        <f>(1.854*E4)/((D4*0.001)^2)</f>
        <v>185.63976396534832</v>
      </c>
      <c r="G4" t="s">
        <v>76</v>
      </c>
      <c r="M4">
        <f t="shared" ref="M4:M11" si="0">(D4*0.001/(2^0.5))^2</f>
        <v>2.496771112499999E-3</v>
      </c>
      <c r="N4">
        <f t="shared" ref="N4:N11" si="1">E4*9.81</f>
        <v>4.9050000000000002</v>
      </c>
      <c r="O4">
        <f>N4/M4</f>
        <v>1964.5373079828128</v>
      </c>
      <c r="P4">
        <f>0.927*O4</f>
        <v>1821.1260845000675</v>
      </c>
      <c r="Q4">
        <f>(0.383*P4)-182.3</f>
        <v>515.19129036352592</v>
      </c>
    </row>
    <row r="5" spans="1:17" x14ac:dyDescent="0.25">
      <c r="A5">
        <v>2</v>
      </c>
      <c r="B5">
        <v>67.25</v>
      </c>
      <c r="C5">
        <v>70.36</v>
      </c>
      <c r="D5">
        <f t="shared" ref="D5:D11" si="2">AVERAGE(B5:C5)</f>
        <v>68.805000000000007</v>
      </c>
      <c r="E5">
        <v>0.5</v>
      </c>
      <c r="F5" s="28">
        <f t="shared" ref="F5:F11" si="3">(1.854*E5)/((D5*0.001)^2)</f>
        <v>195.81219500290126</v>
      </c>
      <c r="G5" t="s">
        <v>76</v>
      </c>
      <c r="M5">
        <f t="shared" si="0"/>
        <v>2.3670640125000005E-3</v>
      </c>
      <c r="N5">
        <f t="shared" si="1"/>
        <v>4.9050000000000002</v>
      </c>
      <c r="O5">
        <f t="shared" ref="O5:O11" si="4">N5/M5</f>
        <v>2072.1873063413823</v>
      </c>
      <c r="P5">
        <f t="shared" ref="P5:P11" si="5">0.927*O5</f>
        <v>1920.9176329784614</v>
      </c>
      <c r="Q5">
        <f t="shared" ref="Q5:Q11" si="6">(0.383*P5)-182.3</f>
        <v>553.41145343075073</v>
      </c>
    </row>
    <row r="6" spans="1:17" x14ac:dyDescent="0.25">
      <c r="A6">
        <v>3</v>
      </c>
      <c r="B6">
        <v>70.510000000000005</v>
      </c>
      <c r="C6">
        <v>72.52</v>
      </c>
      <c r="D6">
        <f t="shared" si="2"/>
        <v>71.515000000000001</v>
      </c>
      <c r="E6">
        <v>0.5</v>
      </c>
      <c r="F6" s="28">
        <f t="shared" si="3"/>
        <v>181.25310212020233</v>
      </c>
      <c r="G6" t="s">
        <v>76</v>
      </c>
      <c r="M6">
        <f t="shared" si="0"/>
        <v>2.5571976124999993E-3</v>
      </c>
      <c r="N6">
        <f t="shared" si="1"/>
        <v>4.9050000000000002</v>
      </c>
      <c r="O6">
        <f t="shared" si="4"/>
        <v>1918.1153525341804</v>
      </c>
      <c r="P6">
        <f t="shared" si="5"/>
        <v>1778.0929317991854</v>
      </c>
      <c r="Q6">
        <f t="shared" si="6"/>
        <v>498.70959287908801</v>
      </c>
    </row>
    <row r="7" spans="1:17" x14ac:dyDescent="0.25">
      <c r="A7">
        <v>4</v>
      </c>
      <c r="B7">
        <v>71.5</v>
      </c>
      <c r="C7">
        <v>70.430000000000007</v>
      </c>
      <c r="D7">
        <f t="shared" si="2"/>
        <v>70.965000000000003</v>
      </c>
      <c r="E7">
        <v>0.5</v>
      </c>
      <c r="F7" s="28">
        <f t="shared" si="3"/>
        <v>184.07352110887678</v>
      </c>
      <c r="M7">
        <f t="shared" si="0"/>
        <v>2.5180156124999997E-3</v>
      </c>
      <c r="N7">
        <f t="shared" si="1"/>
        <v>4.9050000000000002</v>
      </c>
      <c r="O7">
        <f t="shared" si="4"/>
        <v>1947.9625049385991</v>
      </c>
      <c r="P7">
        <f t="shared" si="5"/>
        <v>1805.7612420780815</v>
      </c>
      <c r="Q7">
        <f t="shared" si="6"/>
        <v>509.30655571590518</v>
      </c>
    </row>
    <row r="8" spans="1:17" x14ac:dyDescent="0.25">
      <c r="A8">
        <v>5</v>
      </c>
      <c r="B8">
        <v>81.709999999999994</v>
      </c>
      <c r="C8">
        <v>74.53</v>
      </c>
      <c r="D8">
        <f t="shared" si="2"/>
        <v>78.12</v>
      </c>
      <c r="E8">
        <v>0.5</v>
      </c>
      <c r="F8" s="28">
        <f t="shared" si="3"/>
        <v>151.89912246549676</v>
      </c>
      <c r="M8">
        <f t="shared" si="0"/>
        <v>3.0513672000000002E-3</v>
      </c>
      <c r="N8">
        <f t="shared" si="1"/>
        <v>4.9050000000000002</v>
      </c>
      <c r="O8">
        <f t="shared" si="4"/>
        <v>1607.4761503630241</v>
      </c>
      <c r="P8">
        <f t="shared" si="5"/>
        <v>1490.1303913865233</v>
      </c>
      <c r="Q8">
        <f t="shared" si="6"/>
        <v>388.41993990103839</v>
      </c>
    </row>
    <row r="9" spans="1:17" x14ac:dyDescent="0.25">
      <c r="A9">
        <v>6</v>
      </c>
      <c r="B9">
        <v>72.760000000000005</v>
      </c>
      <c r="C9">
        <v>74.06</v>
      </c>
      <c r="D9">
        <f t="shared" si="2"/>
        <v>73.41</v>
      </c>
      <c r="E9">
        <v>0.5</v>
      </c>
      <c r="F9" s="28">
        <f t="shared" si="3"/>
        <v>172.01617486462911</v>
      </c>
      <c r="M9">
        <f t="shared" si="0"/>
        <v>2.6945140499999997E-3</v>
      </c>
      <c r="N9">
        <f t="shared" si="1"/>
        <v>4.9050000000000002</v>
      </c>
      <c r="O9">
        <f t="shared" si="4"/>
        <v>1820.3653456548134</v>
      </c>
      <c r="P9">
        <f t="shared" si="5"/>
        <v>1687.4786754220122</v>
      </c>
      <c r="Q9">
        <f t="shared" si="6"/>
        <v>464.00433268663068</v>
      </c>
    </row>
    <row r="10" spans="1:17" x14ac:dyDescent="0.25">
      <c r="A10">
        <v>7</v>
      </c>
      <c r="B10">
        <v>74.900000000000006</v>
      </c>
      <c r="C10">
        <v>72.88</v>
      </c>
      <c r="D10">
        <f t="shared" si="2"/>
        <v>73.89</v>
      </c>
      <c r="E10">
        <v>0.5</v>
      </c>
      <c r="F10" s="28">
        <f t="shared" si="3"/>
        <v>169.78855061404937</v>
      </c>
      <c r="M10">
        <f t="shared" si="0"/>
        <v>2.7298660499999999E-3</v>
      </c>
      <c r="N10">
        <f t="shared" si="1"/>
        <v>4.9050000000000002</v>
      </c>
      <c r="O10">
        <f t="shared" si="4"/>
        <v>1796.7914579545031</v>
      </c>
      <c r="P10">
        <f t="shared" si="5"/>
        <v>1665.6256815238246</v>
      </c>
      <c r="Q10">
        <f t="shared" si="6"/>
        <v>455.63463602362486</v>
      </c>
    </row>
    <row r="11" spans="1:17" x14ac:dyDescent="0.25">
      <c r="A11">
        <v>8</v>
      </c>
      <c r="B11">
        <v>76.17</v>
      </c>
      <c r="C11">
        <v>73.040000000000006</v>
      </c>
      <c r="D11">
        <f t="shared" si="2"/>
        <v>74.605000000000004</v>
      </c>
      <c r="E11">
        <v>0.5</v>
      </c>
      <c r="F11" s="28">
        <f t="shared" si="3"/>
        <v>166.54970382831786</v>
      </c>
      <c r="M11">
        <f t="shared" si="0"/>
        <v>2.7829530125000001E-3</v>
      </c>
      <c r="N11">
        <f t="shared" si="1"/>
        <v>4.9050000000000002</v>
      </c>
      <c r="O11">
        <f t="shared" si="4"/>
        <v>1762.5162832317135</v>
      </c>
      <c r="P11">
        <f t="shared" si="5"/>
        <v>1633.8525945557985</v>
      </c>
      <c r="Q11">
        <f t="shared" si="6"/>
        <v>443.46554371487088</v>
      </c>
    </row>
    <row r="12" spans="1:17" x14ac:dyDescent="0.25">
      <c r="E12" s="1" t="s">
        <v>20</v>
      </c>
      <c r="F12" s="29">
        <f>AVERAGE(F4:F11)</f>
        <v>175.87901674622773</v>
      </c>
      <c r="G12" s="1"/>
      <c r="H12" s="1" t="s">
        <v>21</v>
      </c>
      <c r="I12" s="1">
        <f>F12/0.3</f>
        <v>586.26338915409247</v>
      </c>
      <c r="J12" s="1"/>
      <c r="K12" s="1"/>
      <c r="L12" s="1"/>
      <c r="M12" s="1"/>
      <c r="N12" s="1"/>
    </row>
    <row r="13" spans="1:17" x14ac:dyDescent="0.25">
      <c r="E13" s="1" t="s">
        <v>87</v>
      </c>
      <c r="F13" s="8">
        <f>_xlfn.STDEV.P(F4:F11)</f>
        <v>12.760883645877019</v>
      </c>
      <c r="G13" s="1"/>
      <c r="H13" s="1"/>
      <c r="I13" s="1"/>
      <c r="J13" s="1"/>
      <c r="K13" s="1"/>
      <c r="L13" s="1"/>
      <c r="M13" s="1"/>
      <c r="N13" s="1"/>
    </row>
    <row r="15" spans="1:17" ht="30" x14ac:dyDescent="0.25">
      <c r="A15" s="31" t="s">
        <v>3</v>
      </c>
      <c r="B15" s="31" t="s">
        <v>4</v>
      </c>
      <c r="C15" s="31" t="s">
        <v>5</v>
      </c>
      <c r="D15" s="31" t="s">
        <v>6</v>
      </c>
      <c r="E15" s="31" t="s">
        <v>18</v>
      </c>
      <c r="F15" s="31" t="s">
        <v>17</v>
      </c>
      <c r="G15" s="31" t="s">
        <v>107</v>
      </c>
      <c r="H15" s="31"/>
      <c r="L15" s="1" t="s">
        <v>70</v>
      </c>
      <c r="M15" t="s">
        <v>63</v>
      </c>
      <c r="N15" t="s">
        <v>83</v>
      </c>
      <c r="O15" t="s">
        <v>84</v>
      </c>
      <c r="P15" t="s">
        <v>66</v>
      </c>
      <c r="Q15" t="s">
        <v>85</v>
      </c>
    </row>
    <row r="16" spans="1:17" x14ac:dyDescent="0.25">
      <c r="A16" s="1" t="s">
        <v>11</v>
      </c>
    </row>
    <row r="17" spans="1:17" x14ac:dyDescent="0.25">
      <c r="A17">
        <v>1</v>
      </c>
      <c r="B17">
        <v>80.14</v>
      </c>
      <c r="C17">
        <v>80.599999999999994</v>
      </c>
      <c r="D17">
        <f>AVERAGE(B17:C17)</f>
        <v>80.37</v>
      </c>
      <c r="E17">
        <v>0.5</v>
      </c>
      <c r="F17" s="28">
        <f>(1.854*E17)/((D17*0.001)^2)</f>
        <v>143.51318321854365</v>
      </c>
      <c r="G17" s="28">
        <v>270</v>
      </c>
      <c r="M17">
        <f t="shared" ref="M17:M34" si="7">(D17*0.001/(2^0.5))^2</f>
        <v>3.2296684500000006E-3</v>
      </c>
      <c r="N17">
        <f t="shared" ref="N17:N34" si="8">E17*9.81</f>
        <v>4.9050000000000002</v>
      </c>
      <c r="O17">
        <f>N17/M17</f>
        <v>1518.7317447399282</v>
      </c>
      <c r="P17">
        <f>0.927*O17</f>
        <v>1407.8643273739135</v>
      </c>
      <c r="Q17">
        <f>(0.383*P17)-182.3</f>
        <v>356.91203738420887</v>
      </c>
    </row>
    <row r="18" spans="1:17" x14ac:dyDescent="0.25">
      <c r="A18">
        <v>2</v>
      </c>
      <c r="B18">
        <v>85.1</v>
      </c>
      <c r="C18">
        <v>83.45</v>
      </c>
      <c r="D18">
        <f>AVERAGE(B18:C18)</f>
        <v>84.275000000000006</v>
      </c>
      <c r="E18">
        <v>0.5</v>
      </c>
      <c r="F18" s="28">
        <f>(1.854*E18)/((D18*0.001)^2)</f>
        <v>130.52154674720893</v>
      </c>
      <c r="G18" s="28">
        <v>240</v>
      </c>
      <c r="M18">
        <f t="shared" si="7"/>
        <v>3.5511378124999994E-3</v>
      </c>
      <c r="N18">
        <f t="shared" si="8"/>
        <v>4.9050000000000002</v>
      </c>
      <c r="O18">
        <f t="shared" ref="O18:O34" si="9">N18/M18</f>
        <v>1381.2474364510463</v>
      </c>
      <c r="P18">
        <f t="shared" ref="P18:P34" si="10">0.927*O18</f>
        <v>1280.41637359012</v>
      </c>
      <c r="Q18">
        <f t="shared" ref="Q18:Q34" si="11">(0.383*P18)-182.3</f>
        <v>308.09947108501592</v>
      </c>
    </row>
    <row r="19" spans="1:17" x14ac:dyDescent="0.25">
      <c r="A19">
        <v>3</v>
      </c>
      <c r="B19">
        <v>81.87</v>
      </c>
      <c r="C19">
        <v>74.84</v>
      </c>
      <c r="D19">
        <f t="shared" ref="D19:D34" si="12">AVERAGE(B19:C19)</f>
        <v>78.355000000000004</v>
      </c>
      <c r="E19">
        <v>0.5</v>
      </c>
      <c r="F19" s="28">
        <f t="shared" ref="F19:F34" si="13">(1.854*E19)/((D19*0.001)^2)</f>
        <v>150.98934608505411</v>
      </c>
      <c r="G19" s="28">
        <v>673</v>
      </c>
      <c r="M19">
        <f t="shared" si="7"/>
        <v>3.0697530125000003E-3</v>
      </c>
      <c r="N19">
        <f t="shared" si="8"/>
        <v>4.9050000000000002</v>
      </c>
      <c r="O19">
        <f t="shared" si="9"/>
        <v>1597.8484197350388</v>
      </c>
      <c r="P19">
        <f t="shared" si="10"/>
        <v>1481.2054850943809</v>
      </c>
      <c r="Q19">
        <f t="shared" si="11"/>
        <v>385.00170079114793</v>
      </c>
    </row>
    <row r="20" spans="1:17" x14ac:dyDescent="0.25">
      <c r="A20">
        <v>4</v>
      </c>
      <c r="B20">
        <v>74.09</v>
      </c>
      <c r="C20">
        <v>76.94</v>
      </c>
      <c r="D20">
        <f t="shared" si="12"/>
        <v>75.515000000000001</v>
      </c>
      <c r="E20">
        <v>0.5</v>
      </c>
      <c r="F20" s="28">
        <f t="shared" si="13"/>
        <v>162.55984656314533</v>
      </c>
      <c r="G20" s="28">
        <v>1114</v>
      </c>
      <c r="H20" t="s">
        <v>108</v>
      </c>
      <c r="M20">
        <f t="shared" si="7"/>
        <v>2.8512576124999998E-3</v>
      </c>
      <c r="N20">
        <f t="shared" si="8"/>
        <v>4.9050000000000002</v>
      </c>
      <c r="O20">
        <f t="shared" si="9"/>
        <v>1720.2935218818291</v>
      </c>
      <c r="P20">
        <f t="shared" si="10"/>
        <v>1594.7120947844555</v>
      </c>
      <c r="Q20">
        <f t="shared" si="11"/>
        <v>428.47473230244651</v>
      </c>
    </row>
    <row r="21" spans="1:17" x14ac:dyDescent="0.25">
      <c r="A21">
        <v>5</v>
      </c>
      <c r="B21">
        <v>78.209999999999994</v>
      </c>
      <c r="C21">
        <v>73.430000000000007</v>
      </c>
      <c r="D21">
        <f t="shared" si="12"/>
        <v>75.819999999999993</v>
      </c>
      <c r="E21">
        <v>0.5</v>
      </c>
      <c r="F21" s="28">
        <f t="shared" si="13"/>
        <v>161.25462289345276</v>
      </c>
      <c r="G21" s="28">
        <v>1343</v>
      </c>
      <c r="M21">
        <f t="shared" si="7"/>
        <v>2.8743362E-3</v>
      </c>
      <c r="N21">
        <f t="shared" si="8"/>
        <v>4.9050000000000002</v>
      </c>
      <c r="O21">
        <f t="shared" si="9"/>
        <v>1706.4809607171214</v>
      </c>
      <c r="P21">
        <f t="shared" si="10"/>
        <v>1581.9078505847717</v>
      </c>
      <c r="Q21">
        <f t="shared" si="11"/>
        <v>423.57070677396752</v>
      </c>
    </row>
    <row r="22" spans="1:17" x14ac:dyDescent="0.25">
      <c r="A22">
        <v>6</v>
      </c>
      <c r="B22">
        <v>79.25</v>
      </c>
      <c r="C22">
        <v>72.86</v>
      </c>
      <c r="D22">
        <f t="shared" si="12"/>
        <v>76.055000000000007</v>
      </c>
      <c r="E22">
        <v>0.5</v>
      </c>
      <c r="F22" s="28">
        <f t="shared" si="13"/>
        <v>160.25965106157904</v>
      </c>
      <c r="G22" s="28">
        <v>1294</v>
      </c>
      <c r="H22" t="s">
        <v>110</v>
      </c>
      <c r="M22">
        <f t="shared" si="7"/>
        <v>2.8921815125000005E-3</v>
      </c>
      <c r="N22">
        <f t="shared" si="8"/>
        <v>4.9050000000000002</v>
      </c>
      <c r="O22">
        <f t="shared" si="9"/>
        <v>1695.9516471565162</v>
      </c>
      <c r="P22">
        <f t="shared" si="10"/>
        <v>1572.1471769140906</v>
      </c>
      <c r="Q22">
        <f t="shared" si="11"/>
        <v>419.83236875809672</v>
      </c>
    </row>
    <row r="23" spans="1:17" x14ac:dyDescent="0.25">
      <c r="A23">
        <v>7</v>
      </c>
      <c r="B23">
        <v>73.58</v>
      </c>
      <c r="C23">
        <v>73.58</v>
      </c>
      <c r="D23">
        <f t="shared" si="12"/>
        <v>73.58</v>
      </c>
      <c r="E23">
        <v>0.5</v>
      </c>
      <c r="F23" s="28">
        <f t="shared" si="13"/>
        <v>171.22223715465654</v>
      </c>
      <c r="G23" s="28">
        <v>1720</v>
      </c>
      <c r="H23" t="s">
        <v>109</v>
      </c>
      <c r="M23">
        <f t="shared" si="7"/>
        <v>2.7070082000000004E-3</v>
      </c>
      <c r="N23">
        <f t="shared" si="8"/>
        <v>4.9050000000000002</v>
      </c>
      <c r="O23">
        <f t="shared" si="9"/>
        <v>1811.9634805686956</v>
      </c>
      <c r="P23">
        <f t="shared" si="10"/>
        <v>1679.6901464871808</v>
      </c>
      <c r="Q23">
        <f t="shared" si="11"/>
        <v>461.02132610459017</v>
      </c>
    </row>
    <row r="24" spans="1:17" x14ac:dyDescent="0.25">
      <c r="A24">
        <v>8</v>
      </c>
      <c r="B24">
        <v>73.69</v>
      </c>
      <c r="C24">
        <v>72.41</v>
      </c>
      <c r="D24">
        <f t="shared" si="12"/>
        <v>73.05</v>
      </c>
      <c r="E24">
        <v>0.5</v>
      </c>
      <c r="F24" s="28">
        <f t="shared" si="13"/>
        <v>173.71578916300189</v>
      </c>
      <c r="G24" s="28">
        <v>2154</v>
      </c>
      <c r="H24" t="s">
        <v>109</v>
      </c>
      <c r="M24">
        <f t="shared" si="7"/>
        <v>2.66815125E-3</v>
      </c>
      <c r="N24">
        <f t="shared" si="8"/>
        <v>4.9050000000000002</v>
      </c>
      <c r="O24">
        <f t="shared" si="9"/>
        <v>1838.3515552201175</v>
      </c>
      <c r="P24">
        <f t="shared" si="10"/>
        <v>1704.1518916890491</v>
      </c>
      <c r="Q24">
        <f t="shared" si="11"/>
        <v>470.3901745169058</v>
      </c>
    </row>
    <row r="25" spans="1:17" x14ac:dyDescent="0.25">
      <c r="A25">
        <v>9</v>
      </c>
      <c r="B25">
        <v>75.52</v>
      </c>
      <c r="C25">
        <v>72.52</v>
      </c>
      <c r="D25">
        <f t="shared" si="12"/>
        <v>74.02</v>
      </c>
      <c r="E25">
        <v>0.5</v>
      </c>
      <c r="F25" s="28">
        <f t="shared" si="13"/>
        <v>169.19268115170169</v>
      </c>
      <c r="G25" s="28">
        <v>2583</v>
      </c>
      <c r="H25" t="s">
        <v>109</v>
      </c>
      <c r="M25">
        <f t="shared" si="7"/>
        <v>2.7394801999999999E-3</v>
      </c>
      <c r="N25">
        <f t="shared" si="8"/>
        <v>4.9050000000000002</v>
      </c>
      <c r="O25">
        <f t="shared" si="9"/>
        <v>1790.4856549063579</v>
      </c>
      <c r="P25">
        <f t="shared" si="10"/>
        <v>1659.780202098194</v>
      </c>
      <c r="Q25">
        <f t="shared" si="11"/>
        <v>453.39581740360831</v>
      </c>
    </row>
    <row r="26" spans="1:17" x14ac:dyDescent="0.25">
      <c r="A26">
        <v>10</v>
      </c>
      <c r="B26">
        <v>72</v>
      </c>
      <c r="C26">
        <v>71.16</v>
      </c>
      <c r="D26">
        <f t="shared" si="12"/>
        <v>71.58</v>
      </c>
      <c r="E26">
        <v>0.5</v>
      </c>
      <c r="F26" s="28">
        <f t="shared" si="13"/>
        <v>180.92406880313985</v>
      </c>
      <c r="G26" s="28">
        <v>2975</v>
      </c>
      <c r="H26" t="s">
        <v>109</v>
      </c>
      <c r="M26">
        <f t="shared" si="7"/>
        <v>2.5618482000000003E-3</v>
      </c>
      <c r="N26">
        <f t="shared" si="8"/>
        <v>4.9050000000000002</v>
      </c>
      <c r="O26">
        <f t="shared" si="9"/>
        <v>1914.6333494701207</v>
      </c>
      <c r="P26">
        <f t="shared" si="10"/>
        <v>1774.865114958802</v>
      </c>
      <c r="Q26">
        <f t="shared" si="11"/>
        <v>497.47333902922122</v>
      </c>
    </row>
    <row r="27" spans="1:17" x14ac:dyDescent="0.25">
      <c r="A27">
        <v>11</v>
      </c>
      <c r="B27">
        <v>69.58</v>
      </c>
      <c r="C27">
        <v>71.55</v>
      </c>
      <c r="D27">
        <f t="shared" si="12"/>
        <v>70.564999999999998</v>
      </c>
      <c r="E27">
        <v>0.5</v>
      </c>
      <c r="F27" s="28">
        <f t="shared" si="13"/>
        <v>186.16628930254413</v>
      </c>
      <c r="G27" s="28">
        <v>3379</v>
      </c>
      <c r="H27" t="s">
        <v>109</v>
      </c>
      <c r="M27">
        <f t="shared" si="7"/>
        <v>2.4897096124999996E-3</v>
      </c>
      <c r="N27">
        <f t="shared" si="8"/>
        <v>4.9050000000000002</v>
      </c>
      <c r="O27">
        <f t="shared" si="9"/>
        <v>1970.1092751434285</v>
      </c>
      <c r="P27">
        <f t="shared" si="10"/>
        <v>1826.2912980579583</v>
      </c>
      <c r="Q27">
        <f t="shared" si="11"/>
        <v>517.16956715619813</v>
      </c>
    </row>
    <row r="28" spans="1:17" x14ac:dyDescent="0.25">
      <c r="A28">
        <v>12</v>
      </c>
      <c r="B28">
        <v>71.349999999999994</v>
      </c>
      <c r="C28">
        <v>72.17</v>
      </c>
      <c r="D28">
        <f t="shared" si="12"/>
        <v>71.759999999999991</v>
      </c>
      <c r="E28">
        <v>0.5</v>
      </c>
      <c r="F28" s="28">
        <f t="shared" si="13"/>
        <v>180.01756132481745</v>
      </c>
      <c r="G28" s="28">
        <v>3776</v>
      </c>
      <c r="H28" t="s">
        <v>109</v>
      </c>
      <c r="M28">
        <f t="shared" si="7"/>
        <v>2.5747487999999994E-3</v>
      </c>
      <c r="N28">
        <f t="shared" si="8"/>
        <v>4.9050000000000002</v>
      </c>
      <c r="O28">
        <f t="shared" si="9"/>
        <v>1905.0402120781653</v>
      </c>
      <c r="P28">
        <f t="shared" si="10"/>
        <v>1765.9722765964593</v>
      </c>
      <c r="Q28">
        <f t="shared" si="11"/>
        <v>494.06738193644395</v>
      </c>
    </row>
    <row r="29" spans="1:17" x14ac:dyDescent="0.25">
      <c r="A29">
        <v>13</v>
      </c>
      <c r="B29">
        <v>73.55</v>
      </c>
      <c r="C29">
        <v>72.95</v>
      </c>
      <c r="D29">
        <f t="shared" si="12"/>
        <v>73.25</v>
      </c>
      <c r="E29">
        <v>0.5</v>
      </c>
      <c r="F29" s="28">
        <f t="shared" si="13"/>
        <v>172.76846556162567</v>
      </c>
      <c r="G29" s="28">
        <v>4284</v>
      </c>
      <c r="H29" t="s">
        <v>109</v>
      </c>
      <c r="M29">
        <f t="shared" si="7"/>
        <v>2.682781249999999E-3</v>
      </c>
      <c r="N29">
        <f t="shared" si="8"/>
        <v>4.9050000000000002</v>
      </c>
      <c r="O29">
        <f t="shared" si="9"/>
        <v>1828.3264802152626</v>
      </c>
      <c r="P29">
        <f t="shared" si="10"/>
        <v>1694.8586471595486</v>
      </c>
      <c r="Q29">
        <f t="shared" si="11"/>
        <v>466.83086186210716</v>
      </c>
    </row>
    <row r="30" spans="1:17" x14ac:dyDescent="0.25">
      <c r="A30">
        <v>14</v>
      </c>
      <c r="B30">
        <v>72.72</v>
      </c>
      <c r="C30">
        <v>73.400000000000006</v>
      </c>
      <c r="D30">
        <f t="shared" si="12"/>
        <v>73.06</v>
      </c>
      <c r="E30">
        <v>0.5</v>
      </c>
      <c r="F30" s="28">
        <f t="shared" si="13"/>
        <v>173.66823813628616</v>
      </c>
      <c r="G30" s="28">
        <v>4788</v>
      </c>
      <c r="H30" t="s">
        <v>109</v>
      </c>
      <c r="M30">
        <f t="shared" si="7"/>
        <v>2.6688818E-3</v>
      </c>
      <c r="N30">
        <f t="shared" si="8"/>
        <v>4.9050000000000002</v>
      </c>
      <c r="O30">
        <f t="shared" si="9"/>
        <v>1837.8483453257465</v>
      </c>
      <c r="P30">
        <f t="shared" si="10"/>
        <v>1703.6854161169672</v>
      </c>
      <c r="Q30">
        <f t="shared" si="11"/>
        <v>470.21151437279849</v>
      </c>
    </row>
    <row r="31" spans="1:17" x14ac:dyDescent="0.25">
      <c r="A31">
        <v>15</v>
      </c>
      <c r="B31">
        <v>69.510000000000005</v>
      </c>
      <c r="C31">
        <v>70.900000000000006</v>
      </c>
      <c r="D31">
        <f t="shared" si="12"/>
        <v>70.205000000000013</v>
      </c>
      <c r="E31">
        <v>0.5</v>
      </c>
      <c r="F31" s="28">
        <f t="shared" si="13"/>
        <v>188.08044634878198</v>
      </c>
      <c r="G31" s="28">
        <v>5334</v>
      </c>
      <c r="H31" t="s">
        <v>109</v>
      </c>
      <c r="M31">
        <f t="shared" si="7"/>
        <v>2.464371012500001E-3</v>
      </c>
      <c r="N31">
        <f t="shared" si="8"/>
        <v>4.9050000000000002</v>
      </c>
      <c r="O31">
        <f t="shared" si="9"/>
        <v>1990.3658885453631</v>
      </c>
      <c r="P31">
        <f t="shared" si="10"/>
        <v>1845.0691786815516</v>
      </c>
      <c r="Q31">
        <f t="shared" si="11"/>
        <v>524.36149543503439</v>
      </c>
    </row>
    <row r="32" spans="1:17" x14ac:dyDescent="0.25">
      <c r="A32">
        <v>16</v>
      </c>
      <c r="B32">
        <v>84.08</v>
      </c>
      <c r="C32">
        <v>83.82</v>
      </c>
      <c r="D32">
        <f t="shared" si="12"/>
        <v>83.949999999999989</v>
      </c>
      <c r="E32">
        <v>0.5</v>
      </c>
      <c r="F32" s="28">
        <f t="shared" si="13"/>
        <v>131.53409262227831</v>
      </c>
      <c r="G32" s="28">
        <v>5771</v>
      </c>
      <c r="H32" t="s">
        <v>109</v>
      </c>
      <c r="M32">
        <f t="shared" si="7"/>
        <v>3.5238012499999995E-3</v>
      </c>
      <c r="N32">
        <f t="shared" si="8"/>
        <v>4.9050000000000002</v>
      </c>
      <c r="O32">
        <f t="shared" si="9"/>
        <v>1391.9627277503239</v>
      </c>
      <c r="P32">
        <f t="shared" si="10"/>
        <v>1290.3494486245504</v>
      </c>
      <c r="Q32">
        <f t="shared" si="11"/>
        <v>311.90383882320282</v>
      </c>
    </row>
    <row r="33" spans="1:17" x14ac:dyDescent="0.25">
      <c r="A33">
        <v>17</v>
      </c>
      <c r="B33">
        <v>76.209999999999994</v>
      </c>
      <c r="C33">
        <v>76.209999999999994</v>
      </c>
      <c r="D33">
        <f t="shared" si="12"/>
        <v>76.209999999999994</v>
      </c>
      <c r="E33">
        <v>0.5</v>
      </c>
      <c r="F33" s="28">
        <f t="shared" si="13"/>
        <v>159.60842457686678</v>
      </c>
      <c r="G33" s="28">
        <v>6824</v>
      </c>
      <c r="H33" t="s">
        <v>109</v>
      </c>
      <c r="M33">
        <f t="shared" si="7"/>
        <v>2.9039820499999992E-3</v>
      </c>
      <c r="N33">
        <f t="shared" si="8"/>
        <v>4.9050000000000002</v>
      </c>
      <c r="O33">
        <f t="shared" si="9"/>
        <v>1689.060027075581</v>
      </c>
      <c r="P33">
        <f t="shared" si="10"/>
        <v>1565.7586450990636</v>
      </c>
      <c r="Q33">
        <f t="shared" si="11"/>
        <v>417.38556107294136</v>
      </c>
    </row>
    <row r="34" spans="1:17" x14ac:dyDescent="0.25">
      <c r="A34">
        <v>18</v>
      </c>
      <c r="B34">
        <v>73.66</v>
      </c>
      <c r="C34">
        <v>72.12</v>
      </c>
      <c r="D34">
        <f t="shared" si="12"/>
        <v>72.89</v>
      </c>
      <c r="E34">
        <v>0.5</v>
      </c>
      <c r="F34" s="28">
        <f t="shared" si="13"/>
        <v>174.47926925597542</v>
      </c>
      <c r="G34" s="28">
        <v>7820</v>
      </c>
      <c r="H34" t="s">
        <v>109</v>
      </c>
      <c r="M34">
        <f t="shared" si="7"/>
        <v>2.6564760499999994E-3</v>
      </c>
      <c r="N34">
        <f t="shared" si="8"/>
        <v>4.9050000000000002</v>
      </c>
      <c r="O34">
        <f t="shared" si="9"/>
        <v>1846.4311018350802</v>
      </c>
      <c r="P34">
        <f t="shared" si="10"/>
        <v>1711.6416314011194</v>
      </c>
      <c r="Q34">
        <f t="shared" si="11"/>
        <v>473.25874482662874</v>
      </c>
    </row>
    <row r="35" spans="1:17" x14ac:dyDescent="0.25">
      <c r="F35" s="28"/>
      <c r="G35" s="28"/>
    </row>
    <row r="36" spans="1:17" x14ac:dyDescent="0.25">
      <c r="F36" s="28"/>
      <c r="G36" s="28"/>
    </row>
    <row r="37" spans="1:17" x14ac:dyDescent="0.25">
      <c r="F37" s="28"/>
      <c r="G37" s="28"/>
    </row>
    <row r="38" spans="1:17" x14ac:dyDescent="0.25">
      <c r="F38" s="28"/>
      <c r="G38" s="28"/>
    </row>
    <row r="39" spans="1:17" x14ac:dyDescent="0.25">
      <c r="F39" s="28"/>
      <c r="G39" s="28"/>
    </row>
    <row r="40" spans="1:17" x14ac:dyDescent="0.25">
      <c r="F40" s="28"/>
      <c r="G40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First experiment</vt:lpstr>
      <vt:lpstr>Hardness EDMC</vt:lpstr>
      <vt:lpstr>7150 trial for nano</vt:lpstr>
      <vt:lpstr>new base1200Sic</vt:lpstr>
      <vt:lpstr>new base1 um</vt:lpstr>
      <vt:lpstr>ab lsp</vt:lpstr>
      <vt:lpstr>nAb LSP</vt:lpstr>
      <vt:lpstr>fbp-lt11 Ab</vt:lpstr>
      <vt:lpstr>fbp-lt25 nAb</vt:lpstr>
      <vt:lpstr>nab 1um</vt:lpstr>
      <vt:lpstr>ab 1um</vt:lpstr>
      <vt:lpstr>Summary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Araujo A.G.</dc:creator>
  <cp:lastModifiedBy>Sanchez Araujo A.G.</cp:lastModifiedBy>
  <dcterms:created xsi:type="dcterms:W3CDTF">2017-08-17T10:27:17Z</dcterms:created>
  <dcterms:modified xsi:type="dcterms:W3CDTF">2020-10-19T10:13:39Z</dcterms:modified>
</cp:coreProperties>
</file>